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1.xml" ContentType="application/vnd.openxmlformats-officedocument.spreadsheetml.comments+xml"/>
  <Override PartName="/xl/drawings/drawing15.xml" ContentType="application/vnd.openxmlformats-officedocument.drawing+xml"/>
  <Override PartName="/xl/comments2.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Questa_cartella_di_lavoro" defaultThemeVersion="124226"/>
  <mc:AlternateContent xmlns:mc="http://schemas.openxmlformats.org/markup-compatibility/2006">
    <mc:Choice Requires="x15">
      <x15ac:absPath xmlns:x15ac="http://schemas.microsoft.com/office/spreadsheetml/2010/11/ac" url="C:\Users\chesti\Desktop\20221128 AQ GI FM L23\20230713 RIMODULAZIONE ORDINE IN DECREMENTO\"/>
    </mc:Choice>
  </mc:AlternateContent>
  <xr:revisionPtr revIDLastSave="0" documentId="13_ncr:1_{E2F95959-F1EC-42FC-BEFB-9C8CB96EBF54}" xr6:coauthVersionLast="47" xr6:coauthVersionMax="47" xr10:uidLastSave="{00000000-0000-0000-0000-000000000000}"/>
  <workbookProtection workbookAlgorithmName="SHA-512" workbookHashValue="lHEzOZMvFMtDj4/DQA+1U8+P2WgR6eU1yhmJ+axO6PL46fZOfqtCXLsH7TpeTMo0YJTXIZxuI/MHzwVg5YlKQg==" workbookSaltValue="xI19Fs8jU8ELb2xHdIggPg==" workbookSpinCount="100000" lockStructure="1"/>
  <bookViews>
    <workbookView xWindow="330" yWindow="0" windowWidth="28350" windowHeight="15480" tabRatio="712" firstSheet="10" activeTab="10" xr2:uid="{00000000-000D-0000-FFFF-FFFF00000000}"/>
  </bookViews>
  <sheets>
    <sheet name="Tabella PT" sheetId="9" state="hidden" r:id="rId1"/>
    <sheet name="Tabella PE" sheetId="5" state="hidden" r:id="rId2"/>
    <sheet name="Punteggi PT" sheetId="41" state="hidden" r:id="rId3"/>
    <sheet name="Ribassi PE" sheetId="17" state="hidden" r:id="rId4"/>
    <sheet name="AS_Calcolo PT" sheetId="11" state="hidden" r:id="rId5"/>
    <sheet name="AS_CalcoloPE" sheetId="13" state="hidden" r:id="rId6"/>
    <sheet name="AS_CalcoloPtot" sheetId="19" state="hidden" r:id="rId7"/>
    <sheet name="Riepilogo Immobili - BA" sheetId="21" state="hidden" r:id="rId8"/>
    <sheet name="Elenco immobili" sheetId="40" r:id="rId9"/>
    <sheet name="Graduatoria AS" sheetId="42" r:id="rId10"/>
    <sheet name="Valore Appalto Specifico" sheetId="43" r:id="rId11"/>
    <sheet name="Appalto Specifico BA" sheetId="10" r:id="rId12"/>
    <sheet name="ELT" sheetId="20" r:id="rId13"/>
    <sheet name="CLI" sheetId="22" r:id="rId14"/>
    <sheet name="IDR" sheetId="23" r:id="rId15"/>
    <sheet name="ELV" sheetId="24" r:id="rId16"/>
    <sheet name="ANT" sheetId="25" r:id="rId17"/>
    <sheet name="SPE" sheetId="26" r:id="rId18"/>
    <sheet name="PTEC" sheetId="27" r:id="rId19"/>
    <sheet name="PUL_AB" sheetId="28" r:id="rId20"/>
    <sheet name="PUL_ARP" sheetId="29" r:id="rId21"/>
    <sheet name="PPUL" sheetId="31" r:id="rId22"/>
    <sheet name="DIS_AB" sheetId="32" r:id="rId23"/>
    <sheet name="DIS_ARP" sheetId="33" r:id="rId24"/>
    <sheet name="SMA" sheetId="34" r:id="rId25"/>
    <sheet name="GIA_ORD" sheetId="35" r:id="rId26"/>
    <sheet name="REC" sheetId="36" r:id="rId27"/>
    <sheet name="FAC" sheetId="37" r:id="rId28"/>
    <sheet name="TRA" sheetId="38" r:id="rId29"/>
    <sheet name="EDI" sheetId="39" r:id="rId30"/>
  </sheets>
  <definedNames>
    <definedName name="_xlnm._FilterDatabase" localSheetId="16" hidden="1">ANT!$B$6:$C$64</definedName>
    <definedName name="_xlnm._FilterDatabase" localSheetId="13" hidden="1">CLI!$B$6:$C$34</definedName>
    <definedName name="_xlnm._FilterDatabase" localSheetId="22" hidden="1">DIS_AB!$B$6:$B$29</definedName>
    <definedName name="_xlnm._FilterDatabase" localSheetId="23" hidden="1">DIS_ARP!$B$6:$B$12</definedName>
    <definedName name="_xlnm._FilterDatabase" localSheetId="29" hidden="1">EDI!$B$6:$B$8</definedName>
    <definedName name="_xlnm._FilterDatabase" localSheetId="12" hidden="1">ELT!$B$6:$C$22</definedName>
    <definedName name="_xlnm._FilterDatabase" localSheetId="15" hidden="1">ELV!$B$6:$C$18</definedName>
    <definedName name="_xlnm._FilterDatabase" localSheetId="27" hidden="1">FAC!$B$6:$B$18</definedName>
    <definedName name="_xlnm._FilterDatabase" localSheetId="25" hidden="1">GIA_ORD!$B$6:$B$33</definedName>
    <definedName name="_xlnm._FilterDatabase" localSheetId="14" hidden="1">IDR!$B$6:$C$14</definedName>
    <definedName name="_xlnm._FilterDatabase" localSheetId="21" hidden="1">PPUL!$B$6:$B$17</definedName>
    <definedName name="_xlnm._FilterDatabase" localSheetId="18" hidden="1">PTEC!$B$6:$B$18</definedName>
    <definedName name="_xlnm._FilterDatabase" localSheetId="19" hidden="1">PUL_AB!$B$6:$C$95</definedName>
    <definedName name="_xlnm._FilterDatabase" localSheetId="20" hidden="1">PUL_ARP!$B$6:$B$66</definedName>
    <definedName name="_xlnm._FilterDatabase" localSheetId="26" hidden="1">REC!$B$6:$B$18</definedName>
    <definedName name="_xlnm._FilterDatabase" localSheetId="3" hidden="1">'Ribassi PE'!$A$2:$I$46</definedName>
    <definedName name="_xlnm._FilterDatabase" localSheetId="24" hidden="1">SMA!$B$6:$B$25</definedName>
    <definedName name="_xlnm._FilterDatabase" localSheetId="17" hidden="1">SPE!$B$6:$C$18</definedName>
    <definedName name="_xlnm._FilterDatabase" localSheetId="1" hidden="1">'Tabella PE'!$A$2:$I$47</definedName>
    <definedName name="_xlnm._FilterDatabase" localSheetId="28" hidden="1">TRA!$B$6:$B$17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 i="28" l="1"/>
  <c r="F40" i="29"/>
  <c r="F30" i="29"/>
  <c r="F27" i="29"/>
  <c r="F26" i="29"/>
  <c r="F13" i="29"/>
  <c r="I12" i="28"/>
  <c r="I13" i="28"/>
  <c r="I35" i="28"/>
  <c r="I32" i="28"/>
  <c r="I30" i="28"/>
  <c r="I27" i="28"/>
  <c r="I18" i="28"/>
  <c r="E7" i="37" l="1"/>
  <c r="AC54" i="27" l="1"/>
  <c r="AC53" i="27"/>
  <c r="AC52" i="27"/>
  <c r="AC51" i="27"/>
  <c r="AD51" i="27" s="1"/>
  <c r="AC50" i="27"/>
  <c r="AC49" i="27"/>
  <c r="AC48" i="27"/>
  <c r="AC47" i="27"/>
  <c r="AD47" i="27" s="1"/>
  <c r="AC46" i="27"/>
  <c r="AC45" i="27"/>
  <c r="AC44" i="27"/>
  <c r="AC43" i="27"/>
  <c r="AD43" i="27" s="1"/>
  <c r="AC42" i="27"/>
  <c r="AC41" i="27"/>
  <c r="AC40" i="27"/>
  <c r="AC39" i="27"/>
  <c r="AD39" i="27" s="1"/>
  <c r="AC38" i="27"/>
  <c r="AC37" i="27"/>
  <c r="AC36" i="27"/>
  <c r="AC35" i="27"/>
  <c r="AD35" i="27" s="1"/>
  <c r="AC34" i="27"/>
  <c r="AC33" i="27"/>
  <c r="AC32" i="27"/>
  <c r="AC31" i="27"/>
  <c r="AD31" i="27" s="1"/>
  <c r="AC30" i="27"/>
  <c r="AC29" i="27"/>
  <c r="AC28" i="27"/>
  <c r="AC27" i="27"/>
  <c r="AD27" i="27" s="1"/>
  <c r="AC26" i="27"/>
  <c r="AC25" i="27"/>
  <c r="AC24" i="27"/>
  <c r="AC23" i="27"/>
  <c r="AD23" i="27" s="1"/>
  <c r="AC22" i="27"/>
  <c r="AC21" i="27"/>
  <c r="AC20" i="27"/>
  <c r="AC19" i="27"/>
  <c r="AD19" i="27" s="1"/>
  <c r="AC18" i="27"/>
  <c r="AC17" i="27"/>
  <c r="AC16" i="27"/>
  <c r="AC15" i="27"/>
  <c r="AD15" i="27" s="1"/>
  <c r="AC14" i="27"/>
  <c r="AC13" i="27"/>
  <c r="AC12" i="27"/>
  <c r="AC11" i="27"/>
  <c r="AD11" i="27" s="1"/>
  <c r="AC10" i="27"/>
  <c r="AC9" i="27"/>
  <c r="AC8" i="27"/>
  <c r="AA54" i="27"/>
  <c r="AA53" i="27"/>
  <c r="AA52" i="27"/>
  <c r="AA51" i="27"/>
  <c r="AB51" i="27" s="1"/>
  <c r="AA50" i="27"/>
  <c r="AB50" i="27" s="1"/>
  <c r="AA49" i="27"/>
  <c r="AA48" i="27"/>
  <c r="AA47" i="27"/>
  <c r="AB47" i="27" s="1"/>
  <c r="AA46" i="27"/>
  <c r="AB46" i="27" s="1"/>
  <c r="AA45" i="27"/>
  <c r="AA44" i="27"/>
  <c r="AA43" i="27"/>
  <c r="AB43" i="27" s="1"/>
  <c r="AA42" i="27"/>
  <c r="AB42" i="27" s="1"/>
  <c r="AA41" i="27"/>
  <c r="AA40" i="27"/>
  <c r="AA39" i="27"/>
  <c r="AB39" i="27" s="1"/>
  <c r="AA38" i="27"/>
  <c r="AA37" i="27"/>
  <c r="AA36" i="27"/>
  <c r="AA35" i="27"/>
  <c r="AB35" i="27" s="1"/>
  <c r="AA34" i="27"/>
  <c r="AA33" i="27"/>
  <c r="AA32" i="27"/>
  <c r="AA31" i="27"/>
  <c r="AB31" i="27" s="1"/>
  <c r="AA30" i="27"/>
  <c r="AA29" i="27"/>
  <c r="AA28" i="27"/>
  <c r="AA27" i="27"/>
  <c r="AB27" i="27" s="1"/>
  <c r="AA26" i="27"/>
  <c r="AB26" i="27" s="1"/>
  <c r="AA25" i="27"/>
  <c r="AA24" i="27"/>
  <c r="AA23" i="27"/>
  <c r="AB23" i="27" s="1"/>
  <c r="AA22" i="27"/>
  <c r="AA21" i="27"/>
  <c r="AA20" i="27"/>
  <c r="AA19" i="27"/>
  <c r="AB19" i="27" s="1"/>
  <c r="AA17" i="27"/>
  <c r="AA16" i="27"/>
  <c r="AA15" i="27"/>
  <c r="AB15" i="27" s="1"/>
  <c r="AA14" i="27"/>
  <c r="AA13" i="27"/>
  <c r="AA12" i="27"/>
  <c r="AA11" i="27"/>
  <c r="AB11" i="27" s="1"/>
  <c r="AA10" i="27"/>
  <c r="AA9" i="27"/>
  <c r="AB9" i="27" s="1"/>
  <c r="AA8" i="27"/>
  <c r="AA7" i="27"/>
  <c r="AA18" i="27"/>
  <c r="Y54" i="27"/>
  <c r="Y53" i="27"/>
  <c r="Y52" i="27"/>
  <c r="Y50" i="27"/>
  <c r="Y49" i="27"/>
  <c r="Y48" i="27"/>
  <c r="Y46" i="27"/>
  <c r="Y45" i="27"/>
  <c r="Y44" i="27"/>
  <c r="Y42" i="27"/>
  <c r="Y41" i="27"/>
  <c r="Y40" i="27"/>
  <c r="Y38" i="27"/>
  <c r="Y37" i="27"/>
  <c r="Y36" i="27"/>
  <c r="Y34" i="27"/>
  <c r="Y33" i="27"/>
  <c r="Y32" i="27"/>
  <c r="Y30" i="27"/>
  <c r="Y29" i="27"/>
  <c r="Y28" i="27"/>
  <c r="Y26" i="27"/>
  <c r="Y25" i="27"/>
  <c r="Y24" i="27"/>
  <c r="Y22" i="27"/>
  <c r="Y21" i="27"/>
  <c r="Y20" i="27"/>
  <c r="Y12" i="27"/>
  <c r="Y13" i="27"/>
  <c r="Y14" i="27"/>
  <c r="Y18" i="27"/>
  <c r="Y17" i="27"/>
  <c r="Y16" i="27"/>
  <c r="Y10" i="27"/>
  <c r="Y9" i="27"/>
  <c r="Y8" i="27"/>
  <c r="AB22" i="27" l="1"/>
  <c r="AB38" i="27"/>
  <c r="AB34" i="27"/>
  <c r="AB10" i="27"/>
  <c r="AD8" i="27"/>
  <c r="AD20" i="27"/>
  <c r="AD32" i="27"/>
  <c r="AD44" i="27"/>
  <c r="AB17" i="27"/>
  <c r="AB54" i="27"/>
  <c r="AB20" i="27"/>
  <c r="AB32" i="27"/>
  <c r="AB44" i="27"/>
  <c r="AD9" i="27"/>
  <c r="AD21" i="27"/>
  <c r="AD33" i="27"/>
  <c r="AD45" i="27"/>
  <c r="AB18" i="27"/>
  <c r="AB8" i="27"/>
  <c r="AB21" i="27"/>
  <c r="AB33" i="27"/>
  <c r="AB45" i="27"/>
  <c r="AD10" i="27"/>
  <c r="AD22" i="27"/>
  <c r="AD34" i="27"/>
  <c r="AD46" i="27"/>
  <c r="AD12" i="27"/>
  <c r="AD24" i="27"/>
  <c r="AD36" i="27"/>
  <c r="AD48" i="27"/>
  <c r="AB24" i="27"/>
  <c r="AB36" i="27"/>
  <c r="AB48" i="27"/>
  <c r="AD13" i="27"/>
  <c r="AD25" i="27"/>
  <c r="AD37" i="27"/>
  <c r="AD49" i="27"/>
  <c r="AB12" i="27"/>
  <c r="AB25" i="27"/>
  <c r="AB37" i="27"/>
  <c r="AB49" i="27"/>
  <c r="AD14" i="27"/>
  <c r="AD26" i="27"/>
  <c r="AD38" i="27"/>
  <c r="AD50" i="27"/>
  <c r="AB13" i="27"/>
  <c r="AD16" i="27"/>
  <c r="AD28" i="27"/>
  <c r="AD40" i="27"/>
  <c r="AD52" i="27"/>
  <c r="AB28" i="27"/>
  <c r="AB40" i="27"/>
  <c r="AB52" i="27"/>
  <c r="AD17" i="27"/>
  <c r="AD29" i="27"/>
  <c r="AD41" i="27"/>
  <c r="AD53" i="27"/>
  <c r="AB14" i="27"/>
  <c r="AB16" i="27"/>
  <c r="AB29" i="27"/>
  <c r="AB41" i="27"/>
  <c r="AB53" i="27"/>
  <c r="AD18" i="27"/>
  <c r="AD30" i="27"/>
  <c r="AD42" i="27"/>
  <c r="AD54" i="27"/>
  <c r="AB30" i="27"/>
  <c r="J11" i="9" l="1"/>
  <c r="Y18" i="38" l="1"/>
  <c r="Y17" i="38"/>
  <c r="Y16" i="38"/>
  <c r="Y14" i="38"/>
  <c r="Y13" i="38"/>
  <c r="Y12" i="38"/>
  <c r="Y10" i="38"/>
  <c r="Y9" i="38"/>
  <c r="Y8" i="38"/>
  <c r="AC18" i="38"/>
  <c r="AD18" i="38" s="1"/>
  <c r="AA18" i="38"/>
  <c r="AB18" i="38" s="1"/>
  <c r="AC17" i="38"/>
  <c r="AD17" i="38" s="1"/>
  <c r="AA17" i="38"/>
  <c r="AB17" i="38" s="1"/>
  <c r="AC16" i="38"/>
  <c r="AA16" i="38"/>
  <c r="AB16" i="38" s="1"/>
  <c r="AC15" i="38"/>
  <c r="AD15" i="38" s="1"/>
  <c r="AA15" i="38"/>
  <c r="AB15" i="38" s="1"/>
  <c r="AC14" i="38"/>
  <c r="AA14" i="38"/>
  <c r="AC13" i="38"/>
  <c r="AA13" i="38"/>
  <c r="AB13" i="38" s="1"/>
  <c r="AC12" i="38"/>
  <c r="AD12" i="38" s="1"/>
  <c r="AA12" i="38"/>
  <c r="AB12" i="38" s="1"/>
  <c r="AC11" i="38"/>
  <c r="AD11" i="38" s="1"/>
  <c r="AA11" i="38"/>
  <c r="AB11" i="38" s="1"/>
  <c r="AC10" i="38"/>
  <c r="AA10" i="38"/>
  <c r="AC9" i="38"/>
  <c r="AA9" i="38"/>
  <c r="AC8" i="38"/>
  <c r="AA8" i="38"/>
  <c r="Y16" i="37"/>
  <c r="Y18" i="37"/>
  <c r="Y17" i="37"/>
  <c r="Y14" i="37"/>
  <c r="Y13" i="37"/>
  <c r="Y12" i="37"/>
  <c r="Y10" i="37"/>
  <c r="Y9" i="37"/>
  <c r="Y8" i="37"/>
  <c r="AC17" i="37"/>
  <c r="AA17" i="37"/>
  <c r="AC16" i="37"/>
  <c r="AA16" i="37"/>
  <c r="AC15" i="37"/>
  <c r="AD15" i="37" s="1"/>
  <c r="AA15" i="37"/>
  <c r="AB15" i="37" s="1"/>
  <c r="AC14" i="37"/>
  <c r="AD14" i="37" s="1"/>
  <c r="AA14" i="37"/>
  <c r="AB14" i="37" s="1"/>
  <c r="AC13" i="37"/>
  <c r="AA13" i="37"/>
  <c r="AC12" i="37"/>
  <c r="AA12" i="37"/>
  <c r="AC10" i="37"/>
  <c r="AA10" i="37"/>
  <c r="AB10" i="37" s="1"/>
  <c r="AC9" i="37"/>
  <c r="AD9" i="37" s="1"/>
  <c r="AA9" i="37"/>
  <c r="AC8" i="37"/>
  <c r="AA8" i="37"/>
  <c r="Y18" i="36"/>
  <c r="Y17" i="36"/>
  <c r="Y16" i="36"/>
  <c r="Y14" i="36"/>
  <c r="Y13" i="36"/>
  <c r="Y12" i="36"/>
  <c r="Y10" i="36"/>
  <c r="Y9" i="36"/>
  <c r="Y8" i="36"/>
  <c r="AA12" i="36"/>
  <c r="AC12" i="36"/>
  <c r="AA13" i="36"/>
  <c r="AC13" i="36"/>
  <c r="AA14" i="36"/>
  <c r="AC14" i="36"/>
  <c r="AA15" i="36"/>
  <c r="AB15" i="36" s="1"/>
  <c r="AC15" i="36"/>
  <c r="AD15" i="36" s="1"/>
  <c r="AA16" i="36"/>
  <c r="AC16" i="36"/>
  <c r="AD16" i="36" s="1"/>
  <c r="AA17" i="36"/>
  <c r="AC17" i="36"/>
  <c r="AA8" i="36"/>
  <c r="AC8" i="36"/>
  <c r="AA9" i="36"/>
  <c r="AB9" i="36" s="1"/>
  <c r="AC9" i="36"/>
  <c r="AD9" i="36" s="1"/>
  <c r="AA10" i="36"/>
  <c r="AC10" i="36"/>
  <c r="AT66" i="29"/>
  <c r="AT65" i="29"/>
  <c r="AT64" i="29"/>
  <c r="AT62" i="29"/>
  <c r="AT61" i="29"/>
  <c r="AT60" i="29"/>
  <c r="AX65" i="29"/>
  <c r="AV65" i="29"/>
  <c r="AX64" i="29"/>
  <c r="AV64" i="29"/>
  <c r="AX63" i="29"/>
  <c r="AY63" i="29" s="1"/>
  <c r="AV63" i="29"/>
  <c r="AW63" i="29" s="1"/>
  <c r="AX62" i="29"/>
  <c r="AV62" i="29"/>
  <c r="AX61" i="29"/>
  <c r="AV61" i="29"/>
  <c r="AX60" i="29"/>
  <c r="AV60" i="29"/>
  <c r="AT58" i="29"/>
  <c r="AT57" i="29"/>
  <c r="AT56" i="29"/>
  <c r="AX58" i="29"/>
  <c r="AV58" i="29"/>
  <c r="AX57" i="29"/>
  <c r="AV57" i="29"/>
  <c r="AX56" i="29"/>
  <c r="AV56" i="29"/>
  <c r="AC18" i="31"/>
  <c r="AC17" i="31"/>
  <c r="AC16" i="31"/>
  <c r="AC15" i="31"/>
  <c r="AC14" i="31"/>
  <c r="AC13" i="31"/>
  <c r="AC12" i="31"/>
  <c r="AC11" i="31"/>
  <c r="AC10" i="31"/>
  <c r="AC9" i="31"/>
  <c r="AC8" i="31"/>
  <c r="AD13" i="38" l="1"/>
  <c r="AB13" i="36"/>
  <c r="AW65" i="29"/>
  <c r="AD12" i="36"/>
  <c r="AD12" i="37"/>
  <c r="AB16" i="36"/>
  <c r="AB12" i="37"/>
  <c r="AW60" i="29"/>
  <c r="AB8" i="38"/>
  <c r="AD13" i="36"/>
  <c r="AY65" i="29"/>
  <c r="AB12" i="36"/>
  <c r="AB14" i="38"/>
  <c r="AD14" i="36"/>
  <c r="AB8" i="37"/>
  <c r="AD14" i="38"/>
  <c r="AB14" i="36"/>
  <c r="AD8" i="37"/>
  <c r="AD17" i="36"/>
  <c r="AB17" i="36"/>
  <c r="AD16" i="37"/>
  <c r="AB17" i="37"/>
  <c r="AD8" i="38"/>
  <c r="AD10" i="37"/>
  <c r="AD17" i="37"/>
  <c r="AD9" i="38"/>
  <c r="AW56" i="29"/>
  <c r="AB10" i="38"/>
  <c r="AB13" i="37"/>
  <c r="AD10" i="38"/>
  <c r="AW57" i="29"/>
  <c r="AY57" i="29"/>
  <c r="AW58" i="29"/>
  <c r="AD13" i="37"/>
  <c r="AD8" i="36"/>
  <c r="AD10" i="36"/>
  <c r="AD16" i="38"/>
  <c r="AB9" i="38"/>
  <c r="AB16" i="37"/>
  <c r="AB9" i="37"/>
  <c r="AB10" i="36"/>
  <c r="AB8" i="36"/>
  <c r="AW64" i="29"/>
  <c r="AY64" i="29"/>
  <c r="AW62" i="29"/>
  <c r="AY62" i="29"/>
  <c r="AW61" i="29"/>
  <c r="AY61" i="29"/>
  <c r="AY60" i="29"/>
  <c r="AY58" i="29"/>
  <c r="AY56" i="29"/>
  <c r="Y18" i="31" l="1"/>
  <c r="Y17" i="31"/>
  <c r="Y16" i="31"/>
  <c r="AA18" i="31"/>
  <c r="AA17" i="31"/>
  <c r="AA16" i="31"/>
  <c r="AD15" i="31"/>
  <c r="AA15" i="31"/>
  <c r="AB15" i="31" s="1"/>
  <c r="Y14" i="31"/>
  <c r="AD14" i="31" s="1"/>
  <c r="Y13" i="31"/>
  <c r="AD13" i="31" s="1"/>
  <c r="Y12" i="31"/>
  <c r="AA14" i="31"/>
  <c r="AA13" i="31"/>
  <c r="AA12" i="31"/>
  <c r="AA10" i="31"/>
  <c r="AA9" i="31"/>
  <c r="AA8" i="31"/>
  <c r="Y10" i="31"/>
  <c r="Y9" i="31"/>
  <c r="AD9" i="31" s="1"/>
  <c r="Y8" i="31"/>
  <c r="AD8" i="31" s="1"/>
  <c r="AB14" i="31" l="1"/>
  <c r="AB8" i="31"/>
  <c r="AB9" i="31"/>
  <c r="AD18" i="31"/>
  <c r="AB18" i="31"/>
  <c r="AD17" i="31"/>
  <c r="AB17" i="31"/>
  <c r="AB16" i="31"/>
  <c r="AD16" i="31"/>
  <c r="AD10" i="31"/>
  <c r="AB10" i="31"/>
  <c r="AB13" i="31"/>
  <c r="AB12" i="31"/>
  <c r="AD12" i="31"/>
  <c r="F55" i="27"/>
  <c r="F13" i="21" s="1"/>
  <c r="G55" i="27"/>
  <c r="G13" i="21" s="1"/>
  <c r="H55" i="27"/>
  <c r="H13" i="21" s="1"/>
  <c r="I55" i="27"/>
  <c r="I13" i="21" s="1"/>
  <c r="J55" i="27"/>
  <c r="J13" i="21" s="1"/>
  <c r="K55" i="27"/>
  <c r="K13" i="21" s="1"/>
  <c r="L55" i="27"/>
  <c r="L13" i="21" s="1"/>
  <c r="M55" i="27"/>
  <c r="M13" i="21" s="1"/>
  <c r="N55" i="27"/>
  <c r="N13" i="21" s="1"/>
  <c r="O55" i="27"/>
  <c r="O13" i="21" s="1"/>
  <c r="P55" i="27"/>
  <c r="P13" i="21" s="1"/>
  <c r="Q55" i="27"/>
  <c r="Q13" i="21" s="1"/>
  <c r="R55" i="27"/>
  <c r="R13" i="21" s="1"/>
  <c r="S55" i="27"/>
  <c r="S13" i="21" s="1"/>
  <c r="T55" i="27"/>
  <c r="T13" i="21" s="1"/>
  <c r="U55" i="27"/>
  <c r="U13" i="21" s="1"/>
  <c r="V55" i="27"/>
  <c r="V13" i="21" s="1"/>
  <c r="W55" i="27"/>
  <c r="W13" i="21" s="1"/>
  <c r="X55" i="27"/>
  <c r="X13" i="21" s="1"/>
  <c r="E55" i="27"/>
  <c r="E13" i="21" s="1"/>
  <c r="W43" i="19" l="1"/>
  <c r="AG21" i="19"/>
  <c r="AH21" i="19"/>
  <c r="AI21" i="19"/>
  <c r="AJ21" i="19"/>
  <c r="AK21" i="19"/>
  <c r="AL21" i="19"/>
  <c r="AM21" i="19"/>
  <c r="AN21" i="19"/>
  <c r="AO21" i="19"/>
  <c r="AP21" i="19"/>
  <c r="AQ21" i="19"/>
  <c r="AR21" i="19"/>
  <c r="AS21" i="19"/>
  <c r="AT21" i="19"/>
  <c r="AU21" i="19"/>
  <c r="AV21" i="19"/>
  <c r="AW21" i="19"/>
  <c r="AX21" i="19"/>
  <c r="AY21" i="19"/>
  <c r="AG22" i="19"/>
  <c r="AH22" i="19"/>
  <c r="AI22" i="19"/>
  <c r="AJ22" i="19"/>
  <c r="AK22" i="19"/>
  <c r="AL22" i="19"/>
  <c r="AM22" i="19"/>
  <c r="AN22" i="19"/>
  <c r="AO22" i="19"/>
  <c r="AP22" i="19"/>
  <c r="AQ22" i="19"/>
  <c r="AR22" i="19"/>
  <c r="AS22" i="19"/>
  <c r="AT22" i="19"/>
  <c r="AU22" i="19"/>
  <c r="AV22" i="19"/>
  <c r="AW22" i="19"/>
  <c r="AX22" i="19"/>
  <c r="AY22" i="19"/>
  <c r="AG23" i="19"/>
  <c r="AH23" i="19"/>
  <c r="AI23" i="19"/>
  <c r="AJ23" i="19"/>
  <c r="AK23" i="19"/>
  <c r="AL23" i="19"/>
  <c r="AM23" i="19"/>
  <c r="AN23" i="19"/>
  <c r="AO23" i="19"/>
  <c r="AP23" i="19"/>
  <c r="AQ23" i="19"/>
  <c r="AR23" i="19"/>
  <c r="AS23" i="19"/>
  <c r="AT23" i="19"/>
  <c r="AU23" i="19"/>
  <c r="AV23" i="19"/>
  <c r="AW23" i="19"/>
  <c r="AX23" i="19"/>
  <c r="AY23" i="19"/>
  <c r="AG24" i="19"/>
  <c r="AH24" i="19"/>
  <c r="AI24" i="19"/>
  <c r="AJ24" i="19"/>
  <c r="AK24" i="19"/>
  <c r="AL24" i="19"/>
  <c r="AM24" i="19"/>
  <c r="AN24" i="19"/>
  <c r="AO24" i="19"/>
  <c r="AP24" i="19"/>
  <c r="AQ24" i="19"/>
  <c r="AR24" i="19"/>
  <c r="AS24" i="19"/>
  <c r="AT24" i="19"/>
  <c r="AU24" i="19"/>
  <c r="AV24" i="19"/>
  <c r="AW24" i="19"/>
  <c r="AX24" i="19"/>
  <c r="AY24" i="19"/>
  <c r="AG25" i="19"/>
  <c r="AH25" i="19"/>
  <c r="AI25" i="19"/>
  <c r="AJ25" i="19"/>
  <c r="AK25" i="19"/>
  <c r="AL25" i="19"/>
  <c r="AM25" i="19"/>
  <c r="AN25" i="19"/>
  <c r="AO25" i="19"/>
  <c r="AP25" i="19"/>
  <c r="AQ25" i="19"/>
  <c r="AR25" i="19"/>
  <c r="AS25" i="19"/>
  <c r="AT25" i="19"/>
  <c r="AU25" i="19"/>
  <c r="AV25" i="19"/>
  <c r="AW25" i="19"/>
  <c r="AX25" i="19"/>
  <c r="AY25" i="19"/>
  <c r="AG26" i="19"/>
  <c r="AH26" i="19"/>
  <c r="AI26" i="19"/>
  <c r="AJ26" i="19"/>
  <c r="AK26" i="19"/>
  <c r="AL26" i="19"/>
  <c r="AM26" i="19"/>
  <c r="AN26" i="19"/>
  <c r="AO26" i="19"/>
  <c r="AP26" i="19"/>
  <c r="AQ26" i="19"/>
  <c r="AR26" i="19"/>
  <c r="AS26" i="19"/>
  <c r="AT26" i="19"/>
  <c r="AU26" i="19"/>
  <c r="AV26" i="19"/>
  <c r="AW26" i="19"/>
  <c r="AX26" i="19"/>
  <c r="AY26" i="19"/>
  <c r="AG29" i="19"/>
  <c r="AH29" i="19"/>
  <c r="AI29" i="19"/>
  <c r="AJ29" i="19"/>
  <c r="AK29" i="19"/>
  <c r="AL29" i="19"/>
  <c r="AM29" i="19"/>
  <c r="AN29" i="19"/>
  <c r="AO29" i="19"/>
  <c r="AP29" i="19"/>
  <c r="AQ29" i="19"/>
  <c r="AR29" i="19"/>
  <c r="AS29" i="19"/>
  <c r="AT29" i="19"/>
  <c r="AU29" i="19"/>
  <c r="AV29" i="19"/>
  <c r="AW29" i="19"/>
  <c r="AX29" i="19"/>
  <c r="AY29" i="19"/>
  <c r="AG31" i="19"/>
  <c r="AH31" i="19"/>
  <c r="AI31" i="19"/>
  <c r="AJ31" i="19"/>
  <c r="AK31" i="19"/>
  <c r="AL31" i="19"/>
  <c r="AM31" i="19"/>
  <c r="AN31" i="19"/>
  <c r="AO31" i="19"/>
  <c r="AP31" i="19"/>
  <c r="AQ31" i="19"/>
  <c r="AR31" i="19"/>
  <c r="AS31" i="19"/>
  <c r="AT31" i="19"/>
  <c r="AU31" i="19"/>
  <c r="AV31" i="19"/>
  <c r="AW31" i="19"/>
  <c r="AX31" i="19"/>
  <c r="AY31" i="19"/>
  <c r="AG32" i="19"/>
  <c r="AH32" i="19"/>
  <c r="AI32" i="19"/>
  <c r="AJ32" i="19"/>
  <c r="AK32" i="19"/>
  <c r="AL32" i="19"/>
  <c r="AM32" i="19"/>
  <c r="AN32" i="19"/>
  <c r="AO32" i="19"/>
  <c r="AP32" i="19"/>
  <c r="AQ32" i="19"/>
  <c r="AR32" i="19"/>
  <c r="AS32" i="19"/>
  <c r="AT32" i="19"/>
  <c r="AU32" i="19"/>
  <c r="AV32" i="19"/>
  <c r="AW32" i="19"/>
  <c r="AX32" i="19"/>
  <c r="AY32" i="19"/>
  <c r="AG33" i="19"/>
  <c r="AH33" i="19"/>
  <c r="AI33" i="19"/>
  <c r="AJ33" i="19"/>
  <c r="AK33" i="19"/>
  <c r="AL33" i="19"/>
  <c r="AM33" i="19"/>
  <c r="AN33" i="19"/>
  <c r="AO33" i="19"/>
  <c r="AP33" i="19"/>
  <c r="AQ33" i="19"/>
  <c r="AR33" i="19"/>
  <c r="AS33" i="19"/>
  <c r="AT33" i="19"/>
  <c r="AU33" i="19"/>
  <c r="AV33" i="19"/>
  <c r="AW33" i="19"/>
  <c r="AX33" i="19"/>
  <c r="AY33" i="19"/>
  <c r="AG35" i="19"/>
  <c r="AH35" i="19"/>
  <c r="AI35" i="19"/>
  <c r="AJ35" i="19"/>
  <c r="AK35" i="19"/>
  <c r="AL35" i="19"/>
  <c r="AM35" i="19"/>
  <c r="AN35" i="19"/>
  <c r="AO35" i="19"/>
  <c r="AP35" i="19"/>
  <c r="AQ35" i="19"/>
  <c r="AR35" i="19"/>
  <c r="AS35" i="19"/>
  <c r="AT35" i="19"/>
  <c r="AU35" i="19"/>
  <c r="AV35" i="19"/>
  <c r="AW35" i="19"/>
  <c r="AX35" i="19"/>
  <c r="AY35" i="19"/>
  <c r="AG36" i="19"/>
  <c r="AH36" i="19"/>
  <c r="AI36" i="19"/>
  <c r="AJ36" i="19"/>
  <c r="AK36" i="19"/>
  <c r="AL36" i="19"/>
  <c r="AM36" i="19"/>
  <c r="AN36" i="19"/>
  <c r="AO36" i="19"/>
  <c r="AP36" i="19"/>
  <c r="AQ36" i="19"/>
  <c r="AR36" i="19"/>
  <c r="AS36" i="19"/>
  <c r="AT36" i="19"/>
  <c r="AU36" i="19"/>
  <c r="AV36" i="19"/>
  <c r="AW36" i="19"/>
  <c r="AX36" i="19"/>
  <c r="AY36" i="19"/>
  <c r="AG37" i="19"/>
  <c r="AH37" i="19"/>
  <c r="AI37" i="19"/>
  <c r="AJ37" i="19"/>
  <c r="AK37" i="19"/>
  <c r="AL37" i="19"/>
  <c r="AM37" i="19"/>
  <c r="AN37" i="19"/>
  <c r="AO37" i="19"/>
  <c r="AP37" i="19"/>
  <c r="AQ37" i="19"/>
  <c r="AR37" i="19"/>
  <c r="AS37" i="19"/>
  <c r="AT37" i="19"/>
  <c r="AU37" i="19"/>
  <c r="AV37" i="19"/>
  <c r="AW37" i="19"/>
  <c r="AX37" i="19"/>
  <c r="AY37" i="19"/>
  <c r="AG38" i="19"/>
  <c r="AH38" i="19"/>
  <c r="AI38" i="19"/>
  <c r="AJ38" i="19"/>
  <c r="AK38" i="19"/>
  <c r="AL38" i="19"/>
  <c r="AM38" i="19"/>
  <c r="AN38" i="19"/>
  <c r="AO38" i="19"/>
  <c r="AP38" i="19"/>
  <c r="AQ38" i="19"/>
  <c r="AR38" i="19"/>
  <c r="AS38" i="19"/>
  <c r="AT38" i="19"/>
  <c r="AU38" i="19"/>
  <c r="AV38" i="19"/>
  <c r="AW38" i="19"/>
  <c r="AX38" i="19"/>
  <c r="AY38" i="19"/>
  <c r="AF38" i="19"/>
  <c r="AF37" i="19"/>
  <c r="AF36" i="19"/>
  <c r="AF35" i="19"/>
  <c r="AF33" i="19"/>
  <c r="AF32" i="19"/>
  <c r="AF31" i="19"/>
  <c r="AF29" i="19"/>
  <c r="AF26" i="19"/>
  <c r="AF25" i="19"/>
  <c r="AF24" i="19"/>
  <c r="AF23" i="19"/>
  <c r="AF22" i="19"/>
  <c r="AF21" i="19"/>
  <c r="AW45" i="19" l="1"/>
  <c r="AW49" i="19"/>
  <c r="AW53" i="19"/>
  <c r="AW57" i="19"/>
  <c r="AW44" i="19"/>
  <c r="AW48" i="19"/>
  <c r="AW52" i="19"/>
  <c r="AW56" i="19"/>
  <c r="AW60" i="19"/>
  <c r="AW47" i="19"/>
  <c r="AW51" i="19"/>
  <c r="AW55" i="19"/>
  <c r="AW59" i="19"/>
  <c r="AW50" i="19"/>
  <c r="AW63" i="19"/>
  <c r="AW67" i="19"/>
  <c r="AW71" i="19"/>
  <c r="AW46" i="19"/>
  <c r="AW62" i="19"/>
  <c r="AW66" i="19"/>
  <c r="AW70" i="19"/>
  <c r="AW74" i="19"/>
  <c r="AW65" i="19"/>
  <c r="AW73" i="19"/>
  <c r="AW77" i="19"/>
  <c r="AW81" i="19"/>
  <c r="AW85" i="19"/>
  <c r="AW89" i="19"/>
  <c r="AW54" i="19"/>
  <c r="AW68" i="19"/>
  <c r="AW76" i="19"/>
  <c r="AW80" i="19"/>
  <c r="AW84" i="19"/>
  <c r="AW88" i="19"/>
  <c r="AW58" i="19"/>
  <c r="AW61" i="19"/>
  <c r="AW69" i="19"/>
  <c r="AW75" i="19"/>
  <c r="AW79" i="19"/>
  <c r="AW83" i="19"/>
  <c r="AW87" i="19"/>
  <c r="AW91" i="19"/>
  <c r="AW64" i="19"/>
  <c r="AW72" i="19"/>
  <c r="AW78" i="19"/>
  <c r="AW82" i="19"/>
  <c r="AW90" i="19"/>
  <c r="AW86" i="19"/>
  <c r="AS45" i="19"/>
  <c r="AS49" i="19"/>
  <c r="AS53" i="19"/>
  <c r="AS57" i="19"/>
  <c r="AS61" i="19"/>
  <c r="AS44" i="19"/>
  <c r="AS48" i="19"/>
  <c r="AS52" i="19"/>
  <c r="AS56" i="19"/>
  <c r="AS60" i="19"/>
  <c r="AS47" i="19"/>
  <c r="AS51" i="19"/>
  <c r="AS55" i="19"/>
  <c r="AS59" i="19"/>
  <c r="AS46" i="19"/>
  <c r="AS63" i="19"/>
  <c r="AS67" i="19"/>
  <c r="AS71" i="19"/>
  <c r="AS58" i="19"/>
  <c r="AS62" i="19"/>
  <c r="AS66" i="19"/>
  <c r="AS70" i="19"/>
  <c r="AS74" i="19"/>
  <c r="AS54" i="19"/>
  <c r="AS69" i="19"/>
  <c r="AS77" i="19"/>
  <c r="AS81" i="19"/>
  <c r="AS85" i="19"/>
  <c r="AS89" i="19"/>
  <c r="AS64" i="19"/>
  <c r="AS72" i="19"/>
  <c r="AS76" i="19"/>
  <c r="AS80" i="19"/>
  <c r="AS84" i="19"/>
  <c r="AS88" i="19"/>
  <c r="AS65" i="19"/>
  <c r="AS73" i="19"/>
  <c r="AS75" i="19"/>
  <c r="AS79" i="19"/>
  <c r="AS83" i="19"/>
  <c r="AS87" i="19"/>
  <c r="AS91" i="19"/>
  <c r="AS50" i="19"/>
  <c r="AS68" i="19"/>
  <c r="AS78" i="19"/>
  <c r="AS82" i="19"/>
  <c r="AS86" i="19"/>
  <c r="AS90" i="19"/>
  <c r="AO45" i="19"/>
  <c r="AO49" i="19"/>
  <c r="AO53" i="19"/>
  <c r="AO57" i="19"/>
  <c r="AO61" i="19"/>
  <c r="AO44" i="19"/>
  <c r="AO48" i="19"/>
  <c r="AO52" i="19"/>
  <c r="AO56" i="19"/>
  <c r="AO60" i="19"/>
  <c r="AO47" i="19"/>
  <c r="AO51" i="19"/>
  <c r="AO55" i="19"/>
  <c r="AO59" i="19"/>
  <c r="AO58" i="19"/>
  <c r="AO63" i="19"/>
  <c r="AO67" i="19"/>
  <c r="AO71" i="19"/>
  <c r="AO54" i="19"/>
  <c r="AO62" i="19"/>
  <c r="AO66" i="19"/>
  <c r="AO70" i="19"/>
  <c r="AO74" i="19"/>
  <c r="AO65" i="19"/>
  <c r="AO73" i="19"/>
  <c r="AO77" i="19"/>
  <c r="AO81" i="19"/>
  <c r="AO85" i="19"/>
  <c r="AO89" i="19"/>
  <c r="AO46" i="19"/>
  <c r="AO68" i="19"/>
  <c r="AO76" i="19"/>
  <c r="AO80" i="19"/>
  <c r="AO84" i="19"/>
  <c r="AO88" i="19"/>
  <c r="AO50" i="19"/>
  <c r="AO69" i="19"/>
  <c r="AO75" i="19"/>
  <c r="AO79" i="19"/>
  <c r="AO83" i="19"/>
  <c r="AO87" i="19"/>
  <c r="AO91" i="19"/>
  <c r="AO64" i="19"/>
  <c r="AO72" i="19"/>
  <c r="AO78" i="19"/>
  <c r="AO82" i="19"/>
  <c r="AO90" i="19"/>
  <c r="AO86" i="19"/>
  <c r="AK45" i="19"/>
  <c r="AK49" i="19"/>
  <c r="AK53" i="19"/>
  <c r="AK57" i="19"/>
  <c r="AK61" i="19"/>
  <c r="AK44" i="19"/>
  <c r="AK48" i="19"/>
  <c r="AK52" i="19"/>
  <c r="AK56" i="19"/>
  <c r="AK60" i="19"/>
  <c r="AK47" i="19"/>
  <c r="AK51" i="19"/>
  <c r="AK55" i="19"/>
  <c r="AK59" i="19"/>
  <c r="AK54" i="19"/>
  <c r="AK63" i="19"/>
  <c r="AK67" i="19"/>
  <c r="AK71" i="19"/>
  <c r="AK50" i="19"/>
  <c r="AK62" i="19"/>
  <c r="AK66" i="19"/>
  <c r="AK70" i="19"/>
  <c r="AK74" i="19"/>
  <c r="AK46" i="19"/>
  <c r="AK69" i="19"/>
  <c r="AK77" i="19"/>
  <c r="AK81" i="19"/>
  <c r="AK85" i="19"/>
  <c r="AK89" i="19"/>
  <c r="AK58" i="19"/>
  <c r="AK64" i="19"/>
  <c r="AK72" i="19"/>
  <c r="AK76" i="19"/>
  <c r="AK80" i="19"/>
  <c r="AK84" i="19"/>
  <c r="AK88" i="19"/>
  <c r="AK65" i="19"/>
  <c r="AK73" i="19"/>
  <c r="AK75" i="19"/>
  <c r="AK79" i="19"/>
  <c r="AK83" i="19"/>
  <c r="AK87" i="19"/>
  <c r="AK91" i="19"/>
  <c r="AK68" i="19"/>
  <c r="AK78" i="19"/>
  <c r="AK82" i="19"/>
  <c r="AK90" i="19"/>
  <c r="AK86" i="19"/>
  <c r="AG45" i="19"/>
  <c r="AG49" i="19"/>
  <c r="AG53" i="19"/>
  <c r="AG57" i="19"/>
  <c r="AG61" i="19"/>
  <c r="AG44" i="19"/>
  <c r="AG48" i="19"/>
  <c r="AG52" i="19"/>
  <c r="AG56" i="19"/>
  <c r="AG60" i="19"/>
  <c r="AG47" i="19"/>
  <c r="AG51" i="19"/>
  <c r="AG55" i="19"/>
  <c r="AG59" i="19"/>
  <c r="AG50" i="19"/>
  <c r="AG63" i="19"/>
  <c r="AG67" i="19"/>
  <c r="AG71" i="19"/>
  <c r="AG46" i="19"/>
  <c r="AG62" i="19"/>
  <c r="AG66" i="19"/>
  <c r="AG70" i="19"/>
  <c r="AG74" i="19"/>
  <c r="AG58" i="19"/>
  <c r="AG65" i="19"/>
  <c r="AG73" i="19"/>
  <c r="AG77" i="19"/>
  <c r="AG81" i="19"/>
  <c r="AG85" i="19"/>
  <c r="AG89" i="19"/>
  <c r="AG68" i="19"/>
  <c r="AG76" i="19"/>
  <c r="AG80" i="19"/>
  <c r="AG84" i="19"/>
  <c r="AG88" i="19"/>
  <c r="AG69" i="19"/>
  <c r="AG79" i="19"/>
  <c r="AG83" i="19"/>
  <c r="AG87" i="19"/>
  <c r="AG91" i="19"/>
  <c r="AG54" i="19"/>
  <c r="AG64" i="19"/>
  <c r="AG72" i="19"/>
  <c r="AG75" i="19"/>
  <c r="AG78" i="19"/>
  <c r="AG82" i="19"/>
  <c r="AG90" i="19"/>
  <c r="AG86" i="19"/>
  <c r="AF57" i="19"/>
  <c r="AF66" i="19"/>
  <c r="AF73" i="19"/>
  <c r="AF78" i="19"/>
  <c r="AF84" i="19"/>
  <c r="AF50" i="19"/>
  <c r="AF61" i="19"/>
  <c r="AF69" i="19"/>
  <c r="AF74" i="19"/>
  <c r="AF80" i="19"/>
  <c r="AF49" i="19"/>
  <c r="AF62" i="19"/>
  <c r="AF70" i="19"/>
  <c r="AF76" i="19"/>
  <c r="AF72" i="19"/>
  <c r="AF85" i="19"/>
  <c r="AF90" i="19"/>
  <c r="AF77" i="19"/>
  <c r="AF86" i="19"/>
  <c r="AF44" i="19"/>
  <c r="AF93" i="19" s="1"/>
  <c r="AF53" i="19"/>
  <c r="AF81" i="19"/>
  <c r="AF88" i="19"/>
  <c r="AF65" i="19"/>
  <c r="AF82" i="19"/>
  <c r="AF89" i="19"/>
  <c r="AF56" i="19"/>
  <c r="AF87" i="19"/>
  <c r="AF71" i="19"/>
  <c r="AF55" i="19"/>
  <c r="AF54" i="19"/>
  <c r="AF68" i="19"/>
  <c r="AF52" i="19"/>
  <c r="AF83" i="19"/>
  <c r="AF67" i="19"/>
  <c r="AF51" i="19"/>
  <c r="AF45" i="19"/>
  <c r="AF64" i="19"/>
  <c r="AF48" i="19"/>
  <c r="AF79" i="19"/>
  <c r="AF63" i="19"/>
  <c r="AF47" i="19"/>
  <c r="AF46" i="19"/>
  <c r="AF60" i="19"/>
  <c r="AF91" i="19"/>
  <c r="AF75" i="19"/>
  <c r="AF59" i="19"/>
  <c r="AF58" i="19"/>
  <c r="AV44" i="19"/>
  <c r="AV48" i="19"/>
  <c r="AV52" i="19"/>
  <c r="AV56" i="19"/>
  <c r="AV60" i="19"/>
  <c r="AV47" i="19"/>
  <c r="AV51" i="19"/>
  <c r="AV55" i="19"/>
  <c r="AV59" i="19"/>
  <c r="AV46" i="19"/>
  <c r="AV50" i="19"/>
  <c r="AV54" i="19"/>
  <c r="AV58" i="19"/>
  <c r="AV45" i="19"/>
  <c r="AV62" i="19"/>
  <c r="AV66" i="19"/>
  <c r="AV70" i="19"/>
  <c r="AV57" i="19"/>
  <c r="AV61" i="19"/>
  <c r="AV65" i="19"/>
  <c r="AV69" i="19"/>
  <c r="AV73" i="19"/>
  <c r="AV68" i="19"/>
  <c r="AV74" i="19"/>
  <c r="AV76" i="19"/>
  <c r="AV80" i="19"/>
  <c r="AV84" i="19"/>
  <c r="AV88" i="19"/>
  <c r="AV49" i="19"/>
  <c r="AV63" i="19"/>
  <c r="AV71" i="19"/>
  <c r="AV75" i="19"/>
  <c r="AV79" i="19"/>
  <c r="AV83" i="19"/>
  <c r="AV87" i="19"/>
  <c r="AV91" i="19"/>
  <c r="AV53" i="19"/>
  <c r="AV64" i="19"/>
  <c r="AV72" i="19"/>
  <c r="AV78" i="19"/>
  <c r="AV82" i="19"/>
  <c r="AV86" i="19"/>
  <c r="AV90" i="19"/>
  <c r="AV67" i="19"/>
  <c r="AV77" i="19"/>
  <c r="AV81" i="19"/>
  <c r="AV85" i="19"/>
  <c r="AV89" i="19"/>
  <c r="AR44" i="19"/>
  <c r="AR48" i="19"/>
  <c r="AR52" i="19"/>
  <c r="AR56" i="19"/>
  <c r="AR60" i="19"/>
  <c r="AR47" i="19"/>
  <c r="AR51" i="19"/>
  <c r="AR55" i="19"/>
  <c r="AR59" i="19"/>
  <c r="AR46" i="19"/>
  <c r="AR50" i="19"/>
  <c r="AR54" i="19"/>
  <c r="AR58" i="19"/>
  <c r="AR57" i="19"/>
  <c r="AR62" i="19"/>
  <c r="AR66" i="19"/>
  <c r="AR70" i="19"/>
  <c r="AR53" i="19"/>
  <c r="AR65" i="19"/>
  <c r="AR69" i="19"/>
  <c r="AR73" i="19"/>
  <c r="AR49" i="19"/>
  <c r="AR64" i="19"/>
  <c r="AR72" i="19"/>
  <c r="AR76" i="19"/>
  <c r="AR80" i="19"/>
  <c r="AR84" i="19"/>
  <c r="AR88" i="19"/>
  <c r="AR61" i="19"/>
  <c r="AR67" i="19"/>
  <c r="AR74" i="19"/>
  <c r="AR75" i="19"/>
  <c r="AR79" i="19"/>
  <c r="AR83" i="19"/>
  <c r="AR87" i="19"/>
  <c r="AR91" i="19"/>
  <c r="AR68" i="19"/>
  <c r="AR78" i="19"/>
  <c r="AR82" i="19"/>
  <c r="AR86" i="19"/>
  <c r="AR90" i="19"/>
  <c r="AR45" i="19"/>
  <c r="AR63" i="19"/>
  <c r="AR71" i="19"/>
  <c r="AR77" i="19"/>
  <c r="AR81" i="19"/>
  <c r="AR89" i="19"/>
  <c r="AR85" i="19"/>
  <c r="AN44" i="19"/>
  <c r="AN48" i="19"/>
  <c r="AN52" i="19"/>
  <c r="AN56" i="19"/>
  <c r="AN60" i="19"/>
  <c r="AN47" i="19"/>
  <c r="AN51" i="19"/>
  <c r="AN55" i="19"/>
  <c r="AN59" i="19"/>
  <c r="AN46" i="19"/>
  <c r="AN50" i="19"/>
  <c r="AN54" i="19"/>
  <c r="AN58" i="19"/>
  <c r="AN53" i="19"/>
  <c r="AN62" i="19"/>
  <c r="AN66" i="19"/>
  <c r="AN70" i="19"/>
  <c r="AN49" i="19"/>
  <c r="AN65" i="19"/>
  <c r="AN69" i="19"/>
  <c r="AN73" i="19"/>
  <c r="AN61" i="19"/>
  <c r="AN68" i="19"/>
  <c r="AN76" i="19"/>
  <c r="AN80" i="19"/>
  <c r="AN84" i="19"/>
  <c r="AN88" i="19"/>
  <c r="AN63" i="19"/>
  <c r="AN71" i="19"/>
  <c r="AN75" i="19"/>
  <c r="AN79" i="19"/>
  <c r="AN83" i="19"/>
  <c r="AN87" i="19"/>
  <c r="AN91" i="19"/>
  <c r="AN45" i="19"/>
  <c r="AN64" i="19"/>
  <c r="AN72" i="19"/>
  <c r="AN74" i="19"/>
  <c r="AN78" i="19"/>
  <c r="AN82" i="19"/>
  <c r="AN86" i="19"/>
  <c r="AN90" i="19"/>
  <c r="AN57" i="19"/>
  <c r="AN67" i="19"/>
  <c r="AN77" i="19"/>
  <c r="AN81" i="19"/>
  <c r="AN89" i="19"/>
  <c r="AN85" i="19"/>
  <c r="AJ44" i="19"/>
  <c r="AJ48" i="19"/>
  <c r="AJ52" i="19"/>
  <c r="AJ56" i="19"/>
  <c r="AJ60" i="19"/>
  <c r="AJ47" i="19"/>
  <c r="AJ51" i="19"/>
  <c r="AJ55" i="19"/>
  <c r="AJ59" i="19"/>
  <c r="AJ46" i="19"/>
  <c r="AJ50" i="19"/>
  <c r="AJ54" i="19"/>
  <c r="AJ58" i="19"/>
  <c r="AJ49" i="19"/>
  <c r="AJ62" i="19"/>
  <c r="AJ66" i="19"/>
  <c r="AJ70" i="19"/>
  <c r="AJ74" i="19"/>
  <c r="AJ45" i="19"/>
  <c r="AJ61" i="19"/>
  <c r="AJ65" i="19"/>
  <c r="AJ69" i="19"/>
  <c r="AJ73" i="19"/>
  <c r="AJ64" i="19"/>
  <c r="AJ72" i="19"/>
  <c r="AJ76" i="19"/>
  <c r="AJ80" i="19"/>
  <c r="AJ84" i="19"/>
  <c r="AJ88" i="19"/>
  <c r="AJ53" i="19"/>
  <c r="AJ67" i="19"/>
  <c r="AJ75" i="19"/>
  <c r="AJ79" i="19"/>
  <c r="AJ83" i="19"/>
  <c r="AJ87" i="19"/>
  <c r="AJ91" i="19"/>
  <c r="AJ57" i="19"/>
  <c r="AJ68" i="19"/>
  <c r="AJ78" i="19"/>
  <c r="AJ82" i="19"/>
  <c r="AJ86" i="19"/>
  <c r="AJ90" i="19"/>
  <c r="AJ63" i="19"/>
  <c r="AJ71" i="19"/>
  <c r="AJ77" i="19"/>
  <c r="AJ81" i="19"/>
  <c r="AJ89" i="19"/>
  <c r="AJ85" i="19"/>
  <c r="AY47" i="19"/>
  <c r="AY51" i="19"/>
  <c r="AY55" i="19"/>
  <c r="AY59" i="19"/>
  <c r="AY46" i="19"/>
  <c r="AY50" i="19"/>
  <c r="AY54" i="19"/>
  <c r="AY58" i="19"/>
  <c r="AY45" i="19"/>
  <c r="AY49" i="19"/>
  <c r="AY53" i="19"/>
  <c r="AY57" i="19"/>
  <c r="AY44" i="19"/>
  <c r="AY60" i="19"/>
  <c r="AY61" i="19"/>
  <c r="AY65" i="19"/>
  <c r="AY69" i="19"/>
  <c r="AY73" i="19"/>
  <c r="AY56" i="19"/>
  <c r="AY64" i="19"/>
  <c r="AY68" i="19"/>
  <c r="AY72" i="19"/>
  <c r="AY52" i="19"/>
  <c r="AY67" i="19"/>
  <c r="AY75" i="19"/>
  <c r="AY79" i="19"/>
  <c r="AY83" i="19"/>
  <c r="AY87" i="19"/>
  <c r="AY91" i="19"/>
  <c r="AY62" i="19"/>
  <c r="AY70" i="19"/>
  <c r="AY78" i="19"/>
  <c r="AY82" i="19"/>
  <c r="AY86" i="19"/>
  <c r="AY90" i="19"/>
  <c r="AY63" i="19"/>
  <c r="AY71" i="19"/>
  <c r="AY74" i="19"/>
  <c r="AY77" i="19"/>
  <c r="AY81" i="19"/>
  <c r="AY85" i="19"/>
  <c r="AY89" i="19"/>
  <c r="AY48" i="19"/>
  <c r="AY66" i="19"/>
  <c r="AY76" i="19"/>
  <c r="AY80" i="19"/>
  <c r="AY84" i="19"/>
  <c r="AY88" i="19"/>
  <c r="AU47" i="19"/>
  <c r="AU51" i="19"/>
  <c r="AU55" i="19"/>
  <c r="AU59" i="19"/>
  <c r="AU46" i="19"/>
  <c r="AU50" i="19"/>
  <c r="AU54" i="19"/>
  <c r="AU58" i="19"/>
  <c r="AU45" i="19"/>
  <c r="AU49" i="19"/>
  <c r="AU53" i="19"/>
  <c r="AU57" i="19"/>
  <c r="AU61" i="19"/>
  <c r="AU56" i="19"/>
  <c r="AU65" i="19"/>
  <c r="AU69" i="19"/>
  <c r="AU73" i="19"/>
  <c r="AU52" i="19"/>
  <c r="AU64" i="19"/>
  <c r="AU68" i="19"/>
  <c r="AU72" i="19"/>
  <c r="AU63" i="19"/>
  <c r="AU71" i="19"/>
  <c r="AU75" i="19"/>
  <c r="AU79" i="19"/>
  <c r="AU83" i="19"/>
  <c r="AU87" i="19"/>
  <c r="AU91" i="19"/>
  <c r="AU44" i="19"/>
  <c r="AU66" i="19"/>
  <c r="AU78" i="19"/>
  <c r="AU82" i="19"/>
  <c r="AU86" i="19"/>
  <c r="AU90" i="19"/>
  <c r="AU48" i="19"/>
  <c r="AU67" i="19"/>
  <c r="AU77" i="19"/>
  <c r="AU81" i="19"/>
  <c r="AU85" i="19"/>
  <c r="AU89" i="19"/>
  <c r="AU60" i="19"/>
  <c r="AU62" i="19"/>
  <c r="AU70" i="19"/>
  <c r="AU74" i="19"/>
  <c r="AU76" i="19"/>
  <c r="AU80" i="19"/>
  <c r="AU88" i="19"/>
  <c r="AU84" i="19"/>
  <c r="AQ47" i="19"/>
  <c r="AQ51" i="19"/>
  <c r="AQ55" i="19"/>
  <c r="AQ59" i="19"/>
  <c r="AQ46" i="19"/>
  <c r="AQ50" i="19"/>
  <c r="AQ54" i="19"/>
  <c r="AQ58" i="19"/>
  <c r="AQ45" i="19"/>
  <c r="AQ49" i="19"/>
  <c r="AQ53" i="19"/>
  <c r="AQ57" i="19"/>
  <c r="AQ61" i="19"/>
  <c r="AQ52" i="19"/>
  <c r="AQ65" i="19"/>
  <c r="AQ69" i="19"/>
  <c r="AQ73" i="19"/>
  <c r="AQ48" i="19"/>
  <c r="AQ64" i="19"/>
  <c r="AQ68" i="19"/>
  <c r="AQ72" i="19"/>
  <c r="AQ44" i="19"/>
  <c r="AQ67" i="19"/>
  <c r="AQ74" i="19"/>
  <c r="AQ75" i="19"/>
  <c r="AQ79" i="19"/>
  <c r="AQ83" i="19"/>
  <c r="AQ87" i="19"/>
  <c r="AQ91" i="19"/>
  <c r="AQ56" i="19"/>
  <c r="AQ62" i="19"/>
  <c r="AQ70" i="19"/>
  <c r="AQ78" i="19"/>
  <c r="AQ82" i="19"/>
  <c r="AQ86" i="19"/>
  <c r="AQ90" i="19"/>
  <c r="AQ60" i="19"/>
  <c r="AQ63" i="19"/>
  <c r="AQ71" i="19"/>
  <c r="AQ77" i="19"/>
  <c r="AQ81" i="19"/>
  <c r="AQ85" i="19"/>
  <c r="AQ89" i="19"/>
  <c r="AQ66" i="19"/>
  <c r="AQ76" i="19"/>
  <c r="AQ80" i="19"/>
  <c r="AQ88" i="19"/>
  <c r="AQ84" i="19"/>
  <c r="AM47" i="19"/>
  <c r="AM51" i="19"/>
  <c r="AM55" i="19"/>
  <c r="AM59" i="19"/>
  <c r="AM46" i="19"/>
  <c r="AM50" i="19"/>
  <c r="AM54" i="19"/>
  <c r="AM58" i="19"/>
  <c r="AM45" i="19"/>
  <c r="AM49" i="19"/>
  <c r="AM53" i="19"/>
  <c r="AM57" i="19"/>
  <c r="AM61" i="19"/>
  <c r="AM48" i="19"/>
  <c r="AM65" i="19"/>
  <c r="AM69" i="19"/>
  <c r="AM73" i="19"/>
  <c r="AM44" i="19"/>
  <c r="AM60" i="19"/>
  <c r="AM64" i="19"/>
  <c r="AM68" i="19"/>
  <c r="AM72" i="19"/>
  <c r="AM56" i="19"/>
  <c r="AM63" i="19"/>
  <c r="AM71" i="19"/>
  <c r="AM75" i="19"/>
  <c r="AM79" i="19"/>
  <c r="AM83" i="19"/>
  <c r="AM87" i="19"/>
  <c r="AM91" i="19"/>
  <c r="AM66" i="19"/>
  <c r="AM74" i="19"/>
  <c r="AM78" i="19"/>
  <c r="AM82" i="19"/>
  <c r="AM86" i="19"/>
  <c r="AM90" i="19"/>
  <c r="AM67" i="19"/>
  <c r="AM77" i="19"/>
  <c r="AM81" i="19"/>
  <c r="AM85" i="19"/>
  <c r="AM89" i="19"/>
  <c r="AM52" i="19"/>
  <c r="AM62" i="19"/>
  <c r="AM70" i="19"/>
  <c r="AM76" i="19"/>
  <c r="AM80" i="19"/>
  <c r="AM88" i="19"/>
  <c r="AM84" i="19"/>
  <c r="AI47" i="19"/>
  <c r="AI51" i="19"/>
  <c r="AI55" i="19"/>
  <c r="AI59" i="19"/>
  <c r="AI46" i="19"/>
  <c r="AI50" i="19"/>
  <c r="AI54" i="19"/>
  <c r="AI58" i="19"/>
  <c r="AI45" i="19"/>
  <c r="AI49" i="19"/>
  <c r="AI53" i="19"/>
  <c r="AI57" i="19"/>
  <c r="AI61" i="19"/>
  <c r="AI44" i="19"/>
  <c r="AI60" i="19"/>
  <c r="AI65" i="19"/>
  <c r="AI69" i="19"/>
  <c r="AI73" i="19"/>
  <c r="AI56" i="19"/>
  <c r="AI64" i="19"/>
  <c r="AI68" i="19"/>
  <c r="AI72" i="19"/>
  <c r="AI67" i="19"/>
  <c r="AI75" i="19"/>
  <c r="AI79" i="19"/>
  <c r="AI83" i="19"/>
  <c r="AI87" i="19"/>
  <c r="AI91" i="19"/>
  <c r="AI48" i="19"/>
  <c r="AI62" i="19"/>
  <c r="AI70" i="19"/>
  <c r="AI78" i="19"/>
  <c r="AI82" i="19"/>
  <c r="AI86" i="19"/>
  <c r="AI90" i="19"/>
  <c r="AI52" i="19"/>
  <c r="AI63" i="19"/>
  <c r="AI71" i="19"/>
  <c r="AI77" i="19"/>
  <c r="AI81" i="19"/>
  <c r="AI85" i="19"/>
  <c r="AI89" i="19"/>
  <c r="AI66" i="19"/>
  <c r="AI74" i="19"/>
  <c r="AI76" i="19"/>
  <c r="AI80" i="19"/>
  <c r="AI84" i="19"/>
  <c r="AI88" i="19"/>
  <c r="AX46" i="19"/>
  <c r="AX50" i="19"/>
  <c r="AX54" i="19"/>
  <c r="AX58" i="19"/>
  <c r="AX45" i="19"/>
  <c r="AX49" i="19"/>
  <c r="AX53" i="19"/>
  <c r="AX57" i="19"/>
  <c r="AX44" i="19"/>
  <c r="AX48" i="19"/>
  <c r="AX52" i="19"/>
  <c r="AX56" i="19"/>
  <c r="AX60" i="19"/>
  <c r="AX55" i="19"/>
  <c r="AX64" i="19"/>
  <c r="AX68" i="19"/>
  <c r="AX72" i="19"/>
  <c r="AX51" i="19"/>
  <c r="AX63" i="19"/>
  <c r="AX67" i="19"/>
  <c r="AX71" i="19"/>
  <c r="AX47" i="19"/>
  <c r="AX62" i="19"/>
  <c r="AX70" i="19"/>
  <c r="AX78" i="19"/>
  <c r="AX82" i="19"/>
  <c r="AX86" i="19"/>
  <c r="AX90" i="19"/>
  <c r="AX59" i="19"/>
  <c r="AX65" i="19"/>
  <c r="AX73" i="19"/>
  <c r="AX74" i="19"/>
  <c r="AX77" i="19"/>
  <c r="AX81" i="19"/>
  <c r="AX85" i="19"/>
  <c r="AX89" i="19"/>
  <c r="AX66" i="19"/>
  <c r="AX76" i="19"/>
  <c r="AX80" i="19"/>
  <c r="AX84" i="19"/>
  <c r="AX88" i="19"/>
  <c r="AX61" i="19"/>
  <c r="AX69" i="19"/>
  <c r="AX75" i="19"/>
  <c r="AX79" i="19"/>
  <c r="AX83" i="19"/>
  <c r="AX91" i="19"/>
  <c r="AX87" i="19"/>
  <c r="AT46" i="19"/>
  <c r="AT50" i="19"/>
  <c r="AT54" i="19"/>
  <c r="AT58" i="19"/>
  <c r="AT45" i="19"/>
  <c r="AT49" i="19"/>
  <c r="AT53" i="19"/>
  <c r="AT57" i="19"/>
  <c r="AT44" i="19"/>
  <c r="AT48" i="19"/>
  <c r="AT52" i="19"/>
  <c r="AT56" i="19"/>
  <c r="AT60" i="19"/>
  <c r="AT51" i="19"/>
  <c r="AT61" i="19"/>
  <c r="AT64" i="19"/>
  <c r="AT68" i="19"/>
  <c r="AT72" i="19"/>
  <c r="AT47" i="19"/>
  <c r="AT63" i="19"/>
  <c r="AT67" i="19"/>
  <c r="AT71" i="19"/>
  <c r="AT59" i="19"/>
  <c r="AT66" i="19"/>
  <c r="AT78" i="19"/>
  <c r="AT82" i="19"/>
  <c r="AT86" i="19"/>
  <c r="AT90" i="19"/>
  <c r="AT69" i="19"/>
  <c r="AT77" i="19"/>
  <c r="AT81" i="19"/>
  <c r="AT85" i="19"/>
  <c r="AT89" i="19"/>
  <c r="AT62" i="19"/>
  <c r="AT70" i="19"/>
  <c r="AT74" i="19"/>
  <c r="AT76" i="19"/>
  <c r="AT80" i="19"/>
  <c r="AT84" i="19"/>
  <c r="AT88" i="19"/>
  <c r="AT55" i="19"/>
  <c r="AT65" i="19"/>
  <c r="AT73" i="19"/>
  <c r="AT75" i="19"/>
  <c r="AT79" i="19"/>
  <c r="AT83" i="19"/>
  <c r="AT91" i="19"/>
  <c r="AT87" i="19"/>
  <c r="AP46" i="19"/>
  <c r="AP50" i="19"/>
  <c r="AP54" i="19"/>
  <c r="AP58" i="19"/>
  <c r="AP45" i="19"/>
  <c r="AP49" i="19"/>
  <c r="AP53" i="19"/>
  <c r="AP57" i="19"/>
  <c r="AP61" i="19"/>
  <c r="AP44" i="19"/>
  <c r="AP48" i="19"/>
  <c r="AP52" i="19"/>
  <c r="AP56" i="19"/>
  <c r="AP60" i="19"/>
  <c r="AP47" i="19"/>
  <c r="AP64" i="19"/>
  <c r="AP68" i="19"/>
  <c r="AP72" i="19"/>
  <c r="AP59" i="19"/>
  <c r="AP63" i="19"/>
  <c r="AP67" i="19"/>
  <c r="AP71" i="19"/>
  <c r="AP62" i="19"/>
  <c r="AP70" i="19"/>
  <c r="AP78" i="19"/>
  <c r="AP82" i="19"/>
  <c r="AP86" i="19"/>
  <c r="AP90" i="19"/>
  <c r="AP51" i="19"/>
  <c r="AP65" i="19"/>
  <c r="AP73" i="19"/>
  <c r="AP77" i="19"/>
  <c r="AP81" i="19"/>
  <c r="AP85" i="19"/>
  <c r="AP89" i="19"/>
  <c r="AP55" i="19"/>
  <c r="AP66" i="19"/>
  <c r="AP76" i="19"/>
  <c r="AP80" i="19"/>
  <c r="AP84" i="19"/>
  <c r="AP88" i="19"/>
  <c r="AP69" i="19"/>
  <c r="AP74" i="19"/>
  <c r="AP75" i="19"/>
  <c r="AP79" i="19"/>
  <c r="AP83" i="19"/>
  <c r="AP87" i="19"/>
  <c r="AP91" i="19"/>
  <c r="AL46" i="19"/>
  <c r="AL50" i="19"/>
  <c r="AL54" i="19"/>
  <c r="AL58" i="19"/>
  <c r="AL45" i="19"/>
  <c r="AL49" i="19"/>
  <c r="AL53" i="19"/>
  <c r="AL57" i="19"/>
  <c r="AL61" i="19"/>
  <c r="AL44" i="19"/>
  <c r="AL48" i="19"/>
  <c r="AL52" i="19"/>
  <c r="AL56" i="19"/>
  <c r="AL60" i="19"/>
  <c r="AL59" i="19"/>
  <c r="AL64" i="19"/>
  <c r="AL68" i="19"/>
  <c r="AL72" i="19"/>
  <c r="AL55" i="19"/>
  <c r="AL63" i="19"/>
  <c r="AL67" i="19"/>
  <c r="AL71" i="19"/>
  <c r="AL51" i="19"/>
  <c r="AL66" i="19"/>
  <c r="AL74" i="19"/>
  <c r="AL78" i="19"/>
  <c r="AL82" i="19"/>
  <c r="AL86" i="19"/>
  <c r="AL90" i="19"/>
  <c r="AL69" i="19"/>
  <c r="AL77" i="19"/>
  <c r="AL81" i="19"/>
  <c r="AL85" i="19"/>
  <c r="AL89" i="19"/>
  <c r="AL62" i="19"/>
  <c r="AL70" i="19"/>
  <c r="AL76" i="19"/>
  <c r="AL80" i="19"/>
  <c r="AL84" i="19"/>
  <c r="AL88" i="19"/>
  <c r="AL47" i="19"/>
  <c r="AL65" i="19"/>
  <c r="AL73" i="19"/>
  <c r="AL75" i="19"/>
  <c r="AL79" i="19"/>
  <c r="AL83" i="19"/>
  <c r="AL91" i="19"/>
  <c r="AL87" i="19"/>
  <c r="AH46" i="19"/>
  <c r="AH50" i="19"/>
  <c r="AH54" i="19"/>
  <c r="AH58" i="19"/>
  <c r="AH45" i="19"/>
  <c r="AH49" i="19"/>
  <c r="AH53" i="19"/>
  <c r="AH57" i="19"/>
  <c r="AH61" i="19"/>
  <c r="AH44" i="19"/>
  <c r="AH48" i="19"/>
  <c r="AH52" i="19"/>
  <c r="AH56" i="19"/>
  <c r="AH60" i="19"/>
  <c r="AH55" i="19"/>
  <c r="AH64" i="19"/>
  <c r="AH68" i="19"/>
  <c r="AH72" i="19"/>
  <c r="AH51" i="19"/>
  <c r="AH63" i="19"/>
  <c r="AH67" i="19"/>
  <c r="AH71" i="19"/>
  <c r="AH75" i="19"/>
  <c r="AH62" i="19"/>
  <c r="AH70" i="19"/>
  <c r="AH78" i="19"/>
  <c r="AH82" i="19"/>
  <c r="AH86" i="19"/>
  <c r="AH90" i="19"/>
  <c r="AH65" i="19"/>
  <c r="AH73" i="19"/>
  <c r="AH77" i="19"/>
  <c r="AH81" i="19"/>
  <c r="AH85" i="19"/>
  <c r="AH89" i="19"/>
  <c r="AH47" i="19"/>
  <c r="AH66" i="19"/>
  <c r="AH74" i="19"/>
  <c r="AH76" i="19"/>
  <c r="AH80" i="19"/>
  <c r="AH84" i="19"/>
  <c r="AH88" i="19"/>
  <c r="AH59" i="19"/>
  <c r="AH69" i="19"/>
  <c r="AH79" i="19"/>
  <c r="AH83" i="19"/>
  <c r="AH91" i="19"/>
  <c r="AH87" i="19"/>
  <c r="AF40" i="19"/>
  <c r="AS40" i="19"/>
  <c r="AX40" i="19"/>
  <c r="AT40" i="19"/>
  <c r="AP40" i="19"/>
  <c r="AL40" i="19"/>
  <c r="AH40" i="19"/>
  <c r="AW40" i="19"/>
  <c r="AO40" i="19"/>
  <c r="AV40" i="19"/>
  <c r="AN40" i="19"/>
  <c r="AK40" i="19"/>
  <c r="AY40" i="19"/>
  <c r="AU40" i="19"/>
  <c r="AQ40" i="19"/>
  <c r="AM40" i="19"/>
  <c r="AI40" i="19"/>
  <c r="AR40" i="19"/>
  <c r="AJ40" i="19"/>
  <c r="AG40" i="19"/>
  <c r="B2" i="19"/>
  <c r="B8" i="19"/>
  <c r="AT93" i="19" l="1"/>
  <c r="AT43" i="19"/>
  <c r="AF43" i="19"/>
  <c r="AH93" i="19"/>
  <c r="AH94" i="19" s="1"/>
  <c r="AH95" i="19" s="1"/>
  <c r="AH96" i="19" s="1"/>
  <c r="AH97" i="19" s="1"/>
  <c r="AH98" i="19" s="1"/>
  <c r="AH99" i="19" s="1"/>
  <c r="AH100" i="19" s="1"/>
  <c r="AH101" i="19" s="1"/>
  <c r="AH102" i="19" s="1"/>
  <c r="AH103" i="19" s="1"/>
  <c r="AH104" i="19" s="1"/>
  <c r="AH105" i="19" s="1"/>
  <c r="AH106" i="19" s="1"/>
  <c r="AH107" i="19" s="1"/>
  <c r="AH108" i="19" s="1"/>
  <c r="AH109" i="19" s="1"/>
  <c r="AH110" i="19" s="1"/>
  <c r="AH111" i="19" s="1"/>
  <c r="AH112" i="19" s="1"/>
  <c r="AH113" i="19" s="1"/>
  <c r="AH114" i="19" s="1"/>
  <c r="AH115" i="19" s="1"/>
  <c r="AH116" i="19" s="1"/>
  <c r="AH117" i="19" s="1"/>
  <c r="AH118" i="19" s="1"/>
  <c r="AH119" i="19" s="1"/>
  <c r="AH120" i="19" s="1"/>
  <c r="AH121" i="19" s="1"/>
  <c r="AH122" i="19" s="1"/>
  <c r="AH123" i="19" s="1"/>
  <c r="AH124" i="19" s="1"/>
  <c r="AH125" i="19" s="1"/>
  <c r="AH126" i="19" s="1"/>
  <c r="AH127" i="19" s="1"/>
  <c r="AH128" i="19" s="1"/>
  <c r="AH129" i="19" s="1"/>
  <c r="AH130" i="19" s="1"/>
  <c r="AH131" i="19" s="1"/>
  <c r="AH132" i="19" s="1"/>
  <c r="AH133" i="19" s="1"/>
  <c r="AH134" i="19" s="1"/>
  <c r="AH135" i="19" s="1"/>
  <c r="AH136" i="19" s="1"/>
  <c r="AH137" i="19" s="1"/>
  <c r="AH138" i="19" s="1"/>
  <c r="AH139" i="19" s="1"/>
  <c r="AH140" i="19" s="1"/>
  <c r="AH43" i="19"/>
  <c r="AL93" i="19"/>
  <c r="AL43" i="19"/>
  <c r="AP93" i="19"/>
  <c r="AP43" i="19"/>
  <c r="AI93" i="19"/>
  <c r="AI94" i="19" s="1"/>
  <c r="AI95" i="19" s="1"/>
  <c r="AI96" i="19" s="1"/>
  <c r="AI97" i="19" s="1"/>
  <c r="AI98" i="19" s="1"/>
  <c r="AI99" i="19" s="1"/>
  <c r="AI100" i="19" s="1"/>
  <c r="AI101" i="19" s="1"/>
  <c r="AI102" i="19" s="1"/>
  <c r="AI103" i="19" s="1"/>
  <c r="AI104" i="19" s="1"/>
  <c r="AI105" i="19" s="1"/>
  <c r="AI106" i="19" s="1"/>
  <c r="AI107" i="19" s="1"/>
  <c r="AI108" i="19" s="1"/>
  <c r="AI109" i="19" s="1"/>
  <c r="AI110" i="19" s="1"/>
  <c r="AI111" i="19" s="1"/>
  <c r="AI112" i="19" s="1"/>
  <c r="AI113" i="19" s="1"/>
  <c r="AI114" i="19" s="1"/>
  <c r="AI115" i="19" s="1"/>
  <c r="AI116" i="19" s="1"/>
  <c r="AI117" i="19" s="1"/>
  <c r="AI118" i="19" s="1"/>
  <c r="AI119" i="19" s="1"/>
  <c r="AI120" i="19" s="1"/>
  <c r="AI121" i="19" s="1"/>
  <c r="AI122" i="19" s="1"/>
  <c r="AI123" i="19" s="1"/>
  <c r="AI124" i="19" s="1"/>
  <c r="AI125" i="19" s="1"/>
  <c r="AI126" i="19" s="1"/>
  <c r="AI127" i="19" s="1"/>
  <c r="AI128" i="19" s="1"/>
  <c r="AI129" i="19" s="1"/>
  <c r="AI130" i="19" s="1"/>
  <c r="AI131" i="19" s="1"/>
  <c r="AI132" i="19" s="1"/>
  <c r="AI133" i="19" s="1"/>
  <c r="AI134" i="19" s="1"/>
  <c r="AI135" i="19" s="1"/>
  <c r="AI136" i="19" s="1"/>
  <c r="AI137" i="19" s="1"/>
  <c r="AI138" i="19" s="1"/>
  <c r="AI139" i="19" s="1"/>
  <c r="AI140" i="19" s="1"/>
  <c r="AI43" i="19"/>
  <c r="AM93" i="19"/>
  <c r="AM43" i="19"/>
  <c r="AQ93" i="19"/>
  <c r="AQ43" i="19"/>
  <c r="AG43" i="19"/>
  <c r="AG93" i="19"/>
  <c r="AK43" i="19"/>
  <c r="AK93" i="19"/>
  <c r="AO93" i="19"/>
  <c r="AO43" i="19"/>
  <c r="AS93" i="19"/>
  <c r="AS43" i="19"/>
  <c r="AX93" i="19"/>
  <c r="AX43" i="19"/>
  <c r="AU93" i="19"/>
  <c r="AU43" i="19"/>
  <c r="AY93" i="19"/>
  <c r="AY43" i="19"/>
  <c r="AJ43" i="19"/>
  <c r="AJ93" i="19"/>
  <c r="AN93" i="19"/>
  <c r="AN43" i="19"/>
  <c r="AR43" i="19"/>
  <c r="AR93" i="19"/>
  <c r="AV93" i="19"/>
  <c r="AV43" i="19"/>
  <c r="AW43" i="19"/>
  <c r="AW93" i="19"/>
  <c r="AF94" i="19"/>
  <c r="AF95" i="19" s="1"/>
  <c r="AF96" i="19" s="1"/>
  <c r="AF97" i="19" s="1"/>
  <c r="AF98" i="19" s="1"/>
  <c r="AF99" i="19" s="1"/>
  <c r="AF100" i="19" s="1"/>
  <c r="AF101" i="19" s="1"/>
  <c r="AF102" i="19" s="1"/>
  <c r="AF103" i="19" s="1"/>
  <c r="AF104" i="19" s="1"/>
  <c r="AF105" i="19" s="1"/>
  <c r="AF106" i="19" s="1"/>
  <c r="AF107" i="19" s="1"/>
  <c r="AF108" i="19" s="1"/>
  <c r="AF109" i="19" s="1"/>
  <c r="AF110" i="19" s="1"/>
  <c r="AF111" i="19" s="1"/>
  <c r="AF112" i="19" s="1"/>
  <c r="AF113" i="19" s="1"/>
  <c r="AF114" i="19" s="1"/>
  <c r="AF115" i="19" s="1"/>
  <c r="AF116" i="19" s="1"/>
  <c r="AF117" i="19" s="1"/>
  <c r="AF118" i="19" s="1"/>
  <c r="AF119" i="19" s="1"/>
  <c r="AF120" i="19" s="1"/>
  <c r="AF121" i="19" s="1"/>
  <c r="AF122" i="19" s="1"/>
  <c r="AF123" i="19" s="1"/>
  <c r="AF124" i="19" s="1"/>
  <c r="AF125" i="19" s="1"/>
  <c r="AF126" i="19" s="1"/>
  <c r="AF127" i="19" s="1"/>
  <c r="AF128" i="19" s="1"/>
  <c r="AF129" i="19" s="1"/>
  <c r="AF130" i="19" s="1"/>
  <c r="AF131" i="19" s="1"/>
  <c r="AF132" i="19" s="1"/>
  <c r="AF133" i="19" s="1"/>
  <c r="AF134" i="19" s="1"/>
  <c r="AF135" i="19" s="1"/>
  <c r="AF136" i="19" s="1"/>
  <c r="AF137" i="19" s="1"/>
  <c r="AF138" i="19" s="1"/>
  <c r="AF139" i="19" s="1"/>
  <c r="AF140" i="19" s="1"/>
  <c r="AF142" i="19"/>
  <c r="E4" i="40"/>
  <c r="E5" i="40"/>
  <c r="E6" i="40"/>
  <c r="E7" i="40"/>
  <c r="AI142" i="19" l="1"/>
  <c r="AI143" i="19" s="1"/>
  <c r="AI144" i="19" s="1"/>
  <c r="AH142" i="19"/>
  <c r="AV94" i="19"/>
  <c r="AV95" i="19" s="1"/>
  <c r="AV96" i="19" s="1"/>
  <c r="AV97" i="19" s="1"/>
  <c r="AV98" i="19" s="1"/>
  <c r="AV99" i="19" s="1"/>
  <c r="AV100" i="19" s="1"/>
  <c r="AV101" i="19" s="1"/>
  <c r="AV102" i="19" s="1"/>
  <c r="AV103" i="19" s="1"/>
  <c r="AV104" i="19" s="1"/>
  <c r="AV105" i="19" s="1"/>
  <c r="AV106" i="19" s="1"/>
  <c r="AV107" i="19" s="1"/>
  <c r="AV108" i="19" s="1"/>
  <c r="AV109" i="19" s="1"/>
  <c r="AV110" i="19" s="1"/>
  <c r="AV111" i="19" s="1"/>
  <c r="AV112" i="19" s="1"/>
  <c r="AV113" i="19" s="1"/>
  <c r="AV114" i="19" s="1"/>
  <c r="AV115" i="19" s="1"/>
  <c r="AV116" i="19" s="1"/>
  <c r="AV117" i="19" s="1"/>
  <c r="AV118" i="19" s="1"/>
  <c r="AV119" i="19" s="1"/>
  <c r="AV120" i="19" s="1"/>
  <c r="AV121" i="19" s="1"/>
  <c r="AV122" i="19" s="1"/>
  <c r="AV123" i="19" s="1"/>
  <c r="AV124" i="19" s="1"/>
  <c r="AV125" i="19" s="1"/>
  <c r="AV126" i="19" s="1"/>
  <c r="AV127" i="19" s="1"/>
  <c r="AV128" i="19" s="1"/>
  <c r="AV129" i="19" s="1"/>
  <c r="AV130" i="19" s="1"/>
  <c r="AV131" i="19" s="1"/>
  <c r="AV132" i="19" s="1"/>
  <c r="AV133" i="19" s="1"/>
  <c r="AV134" i="19" s="1"/>
  <c r="AV135" i="19" s="1"/>
  <c r="AV136" i="19" s="1"/>
  <c r="AV137" i="19" s="1"/>
  <c r="AV138" i="19" s="1"/>
  <c r="AV139" i="19" s="1"/>
  <c r="AV140" i="19" s="1"/>
  <c r="AV142" i="19"/>
  <c r="AN94" i="19"/>
  <c r="AN95" i="19" s="1"/>
  <c r="AN96" i="19" s="1"/>
  <c r="AN97" i="19" s="1"/>
  <c r="AN98" i="19" s="1"/>
  <c r="AN99" i="19" s="1"/>
  <c r="AN100" i="19" s="1"/>
  <c r="AN101" i="19" s="1"/>
  <c r="AN102" i="19" s="1"/>
  <c r="AN103" i="19" s="1"/>
  <c r="AN104" i="19" s="1"/>
  <c r="AN105" i="19" s="1"/>
  <c r="AN106" i="19" s="1"/>
  <c r="AN107" i="19" s="1"/>
  <c r="AN108" i="19" s="1"/>
  <c r="AN109" i="19" s="1"/>
  <c r="AN110" i="19" s="1"/>
  <c r="AN111" i="19" s="1"/>
  <c r="AN112" i="19" s="1"/>
  <c r="AN113" i="19" s="1"/>
  <c r="AN114" i="19" s="1"/>
  <c r="AN115" i="19" s="1"/>
  <c r="AN116" i="19" s="1"/>
  <c r="AN117" i="19" s="1"/>
  <c r="AN118" i="19" s="1"/>
  <c r="AN119" i="19" s="1"/>
  <c r="AN120" i="19" s="1"/>
  <c r="AN121" i="19" s="1"/>
  <c r="AN122" i="19" s="1"/>
  <c r="AN123" i="19" s="1"/>
  <c r="AN124" i="19" s="1"/>
  <c r="AN125" i="19" s="1"/>
  <c r="AN126" i="19" s="1"/>
  <c r="AN127" i="19" s="1"/>
  <c r="AN128" i="19" s="1"/>
  <c r="AN129" i="19" s="1"/>
  <c r="AN130" i="19" s="1"/>
  <c r="AN131" i="19" s="1"/>
  <c r="AN132" i="19" s="1"/>
  <c r="AN133" i="19" s="1"/>
  <c r="AN134" i="19" s="1"/>
  <c r="AN135" i="19" s="1"/>
  <c r="AN136" i="19" s="1"/>
  <c r="AN137" i="19" s="1"/>
  <c r="AN138" i="19" s="1"/>
  <c r="AN139" i="19" s="1"/>
  <c r="AN140" i="19" s="1"/>
  <c r="AN142" i="19"/>
  <c r="AY94" i="19"/>
  <c r="AY95" i="19" s="1"/>
  <c r="AY96" i="19" s="1"/>
  <c r="AY97" i="19" s="1"/>
  <c r="AY98" i="19" s="1"/>
  <c r="AY99" i="19" s="1"/>
  <c r="AY100" i="19" s="1"/>
  <c r="AY101" i="19" s="1"/>
  <c r="AY102" i="19" s="1"/>
  <c r="AY103" i="19" s="1"/>
  <c r="AY104" i="19" s="1"/>
  <c r="AY105" i="19" s="1"/>
  <c r="AY106" i="19" s="1"/>
  <c r="AY107" i="19" s="1"/>
  <c r="AY108" i="19" s="1"/>
  <c r="AY109" i="19" s="1"/>
  <c r="AY110" i="19" s="1"/>
  <c r="AY111" i="19" s="1"/>
  <c r="AY112" i="19" s="1"/>
  <c r="AY113" i="19" s="1"/>
  <c r="AY114" i="19" s="1"/>
  <c r="AY115" i="19" s="1"/>
  <c r="AY116" i="19" s="1"/>
  <c r="AY117" i="19" s="1"/>
  <c r="AY118" i="19" s="1"/>
  <c r="AY119" i="19" s="1"/>
  <c r="AY120" i="19" s="1"/>
  <c r="AY121" i="19" s="1"/>
  <c r="AY122" i="19" s="1"/>
  <c r="AY123" i="19" s="1"/>
  <c r="AY124" i="19" s="1"/>
  <c r="AY125" i="19" s="1"/>
  <c r="AY126" i="19" s="1"/>
  <c r="AY127" i="19" s="1"/>
  <c r="AY128" i="19" s="1"/>
  <c r="AY129" i="19" s="1"/>
  <c r="AY130" i="19" s="1"/>
  <c r="AY131" i="19" s="1"/>
  <c r="AY132" i="19" s="1"/>
  <c r="AY133" i="19" s="1"/>
  <c r="AY134" i="19" s="1"/>
  <c r="AY135" i="19" s="1"/>
  <c r="AY136" i="19" s="1"/>
  <c r="AY137" i="19" s="1"/>
  <c r="AY138" i="19" s="1"/>
  <c r="AY139" i="19" s="1"/>
  <c r="AY140" i="19" s="1"/>
  <c r="AY142" i="19"/>
  <c r="AX94" i="19"/>
  <c r="AX95" i="19" s="1"/>
  <c r="AX96" i="19" s="1"/>
  <c r="AX97" i="19" s="1"/>
  <c r="AX98" i="19" s="1"/>
  <c r="AX99" i="19" s="1"/>
  <c r="AX100" i="19" s="1"/>
  <c r="AX101" i="19" s="1"/>
  <c r="AX102" i="19" s="1"/>
  <c r="AX103" i="19" s="1"/>
  <c r="AX104" i="19" s="1"/>
  <c r="AX105" i="19" s="1"/>
  <c r="AX106" i="19" s="1"/>
  <c r="AX107" i="19" s="1"/>
  <c r="AX108" i="19" s="1"/>
  <c r="AX109" i="19" s="1"/>
  <c r="AX110" i="19" s="1"/>
  <c r="AX111" i="19" s="1"/>
  <c r="AX112" i="19" s="1"/>
  <c r="AX113" i="19" s="1"/>
  <c r="AX114" i="19" s="1"/>
  <c r="AX115" i="19" s="1"/>
  <c r="AX116" i="19" s="1"/>
  <c r="AX117" i="19" s="1"/>
  <c r="AX118" i="19" s="1"/>
  <c r="AX119" i="19" s="1"/>
  <c r="AX120" i="19" s="1"/>
  <c r="AX121" i="19" s="1"/>
  <c r="AX122" i="19" s="1"/>
  <c r="AX123" i="19" s="1"/>
  <c r="AX124" i="19" s="1"/>
  <c r="AX125" i="19" s="1"/>
  <c r="AX126" i="19" s="1"/>
  <c r="AX127" i="19" s="1"/>
  <c r="AX128" i="19" s="1"/>
  <c r="AX129" i="19" s="1"/>
  <c r="AX130" i="19" s="1"/>
  <c r="AX131" i="19" s="1"/>
  <c r="AX132" i="19" s="1"/>
  <c r="AX133" i="19" s="1"/>
  <c r="AX134" i="19" s="1"/>
  <c r="AX135" i="19" s="1"/>
  <c r="AX136" i="19" s="1"/>
  <c r="AX137" i="19" s="1"/>
  <c r="AX138" i="19" s="1"/>
  <c r="AX139" i="19" s="1"/>
  <c r="AX140" i="19" s="1"/>
  <c r="AX142" i="19"/>
  <c r="AO94" i="19"/>
  <c r="AO95" i="19" s="1"/>
  <c r="AO96" i="19" s="1"/>
  <c r="AO97" i="19" s="1"/>
  <c r="AO98" i="19" s="1"/>
  <c r="AO99" i="19" s="1"/>
  <c r="AO100" i="19" s="1"/>
  <c r="AO101" i="19" s="1"/>
  <c r="AO102" i="19" s="1"/>
  <c r="AO103" i="19" s="1"/>
  <c r="AO104" i="19" s="1"/>
  <c r="AO105" i="19" s="1"/>
  <c r="AO106" i="19" s="1"/>
  <c r="AO107" i="19" s="1"/>
  <c r="AO108" i="19" s="1"/>
  <c r="AO109" i="19" s="1"/>
  <c r="AO110" i="19" s="1"/>
  <c r="AO111" i="19" s="1"/>
  <c r="AO112" i="19" s="1"/>
  <c r="AO113" i="19" s="1"/>
  <c r="AO114" i="19" s="1"/>
  <c r="AO115" i="19" s="1"/>
  <c r="AO116" i="19" s="1"/>
  <c r="AO117" i="19" s="1"/>
  <c r="AO118" i="19" s="1"/>
  <c r="AO119" i="19" s="1"/>
  <c r="AO120" i="19" s="1"/>
  <c r="AO121" i="19" s="1"/>
  <c r="AO122" i="19" s="1"/>
  <c r="AO123" i="19" s="1"/>
  <c r="AO124" i="19" s="1"/>
  <c r="AO125" i="19" s="1"/>
  <c r="AO126" i="19" s="1"/>
  <c r="AO127" i="19" s="1"/>
  <c r="AO128" i="19" s="1"/>
  <c r="AO129" i="19" s="1"/>
  <c r="AO130" i="19" s="1"/>
  <c r="AO131" i="19" s="1"/>
  <c r="AO132" i="19" s="1"/>
  <c r="AO133" i="19" s="1"/>
  <c r="AO134" i="19" s="1"/>
  <c r="AO135" i="19" s="1"/>
  <c r="AO136" i="19" s="1"/>
  <c r="AO137" i="19" s="1"/>
  <c r="AO138" i="19" s="1"/>
  <c r="AO139" i="19" s="1"/>
  <c r="AO140" i="19" s="1"/>
  <c r="AO142" i="19"/>
  <c r="AM94" i="19"/>
  <c r="AM95" i="19" s="1"/>
  <c r="AM96" i="19" s="1"/>
  <c r="AM97" i="19" s="1"/>
  <c r="AM98" i="19" s="1"/>
  <c r="AM99" i="19" s="1"/>
  <c r="AM100" i="19" s="1"/>
  <c r="AM101" i="19" s="1"/>
  <c r="AM102" i="19" s="1"/>
  <c r="AM103" i="19" s="1"/>
  <c r="AM104" i="19" s="1"/>
  <c r="AM105" i="19" s="1"/>
  <c r="AM106" i="19" s="1"/>
  <c r="AM107" i="19" s="1"/>
  <c r="AM108" i="19" s="1"/>
  <c r="AM109" i="19" s="1"/>
  <c r="AM110" i="19" s="1"/>
  <c r="AM111" i="19" s="1"/>
  <c r="AM112" i="19" s="1"/>
  <c r="AM113" i="19" s="1"/>
  <c r="AM114" i="19" s="1"/>
  <c r="AM115" i="19" s="1"/>
  <c r="AM116" i="19" s="1"/>
  <c r="AM117" i="19" s="1"/>
  <c r="AM118" i="19" s="1"/>
  <c r="AM119" i="19" s="1"/>
  <c r="AM120" i="19" s="1"/>
  <c r="AM121" i="19" s="1"/>
  <c r="AM122" i="19" s="1"/>
  <c r="AM123" i="19" s="1"/>
  <c r="AM124" i="19" s="1"/>
  <c r="AM125" i="19" s="1"/>
  <c r="AM126" i="19" s="1"/>
  <c r="AM127" i="19" s="1"/>
  <c r="AM128" i="19" s="1"/>
  <c r="AM129" i="19" s="1"/>
  <c r="AM130" i="19" s="1"/>
  <c r="AM131" i="19" s="1"/>
  <c r="AM132" i="19" s="1"/>
  <c r="AM133" i="19" s="1"/>
  <c r="AM134" i="19" s="1"/>
  <c r="AM135" i="19" s="1"/>
  <c r="AM136" i="19" s="1"/>
  <c r="AM137" i="19" s="1"/>
  <c r="AM138" i="19" s="1"/>
  <c r="AM139" i="19" s="1"/>
  <c r="AM140" i="19" s="1"/>
  <c r="AM142" i="19"/>
  <c r="AP94" i="19"/>
  <c r="AP95" i="19" s="1"/>
  <c r="AP96" i="19" s="1"/>
  <c r="AP97" i="19" s="1"/>
  <c r="AP98" i="19" s="1"/>
  <c r="AP99" i="19" s="1"/>
  <c r="AP100" i="19" s="1"/>
  <c r="AP101" i="19" s="1"/>
  <c r="AP102" i="19" s="1"/>
  <c r="AP103" i="19" s="1"/>
  <c r="AP104" i="19" s="1"/>
  <c r="AP105" i="19" s="1"/>
  <c r="AP106" i="19" s="1"/>
  <c r="AP107" i="19" s="1"/>
  <c r="AP108" i="19" s="1"/>
  <c r="AP109" i="19" s="1"/>
  <c r="AP110" i="19" s="1"/>
  <c r="AP111" i="19" s="1"/>
  <c r="AP112" i="19" s="1"/>
  <c r="AP113" i="19" s="1"/>
  <c r="AP114" i="19" s="1"/>
  <c r="AP115" i="19" s="1"/>
  <c r="AP116" i="19" s="1"/>
  <c r="AP117" i="19" s="1"/>
  <c r="AP118" i="19" s="1"/>
  <c r="AP119" i="19" s="1"/>
  <c r="AP120" i="19" s="1"/>
  <c r="AP121" i="19" s="1"/>
  <c r="AP122" i="19" s="1"/>
  <c r="AP123" i="19" s="1"/>
  <c r="AP124" i="19" s="1"/>
  <c r="AP125" i="19" s="1"/>
  <c r="AP126" i="19" s="1"/>
  <c r="AP127" i="19" s="1"/>
  <c r="AP128" i="19" s="1"/>
  <c r="AP129" i="19" s="1"/>
  <c r="AP130" i="19" s="1"/>
  <c r="AP131" i="19" s="1"/>
  <c r="AP132" i="19" s="1"/>
  <c r="AP133" i="19" s="1"/>
  <c r="AP134" i="19" s="1"/>
  <c r="AP135" i="19" s="1"/>
  <c r="AP136" i="19" s="1"/>
  <c r="AP137" i="19" s="1"/>
  <c r="AP138" i="19" s="1"/>
  <c r="AP139" i="19" s="1"/>
  <c r="AP140" i="19" s="1"/>
  <c r="AP142" i="19"/>
  <c r="AJ94" i="19"/>
  <c r="AJ95" i="19" s="1"/>
  <c r="AJ96" i="19" s="1"/>
  <c r="AJ97" i="19" s="1"/>
  <c r="AJ98" i="19" s="1"/>
  <c r="AJ99" i="19" s="1"/>
  <c r="AJ100" i="19" s="1"/>
  <c r="AJ101" i="19" s="1"/>
  <c r="AJ102" i="19" s="1"/>
  <c r="AJ103" i="19" s="1"/>
  <c r="AJ104" i="19" s="1"/>
  <c r="AJ105" i="19" s="1"/>
  <c r="AJ106" i="19" s="1"/>
  <c r="AJ107" i="19" s="1"/>
  <c r="AJ108" i="19" s="1"/>
  <c r="AJ109" i="19" s="1"/>
  <c r="AJ110" i="19" s="1"/>
  <c r="AJ111" i="19" s="1"/>
  <c r="AJ112" i="19" s="1"/>
  <c r="AJ113" i="19" s="1"/>
  <c r="AJ114" i="19" s="1"/>
  <c r="AJ115" i="19" s="1"/>
  <c r="AJ116" i="19" s="1"/>
  <c r="AJ117" i="19" s="1"/>
  <c r="AJ118" i="19" s="1"/>
  <c r="AJ119" i="19" s="1"/>
  <c r="AJ120" i="19" s="1"/>
  <c r="AJ121" i="19" s="1"/>
  <c r="AJ122" i="19" s="1"/>
  <c r="AJ123" i="19" s="1"/>
  <c r="AJ124" i="19" s="1"/>
  <c r="AJ125" i="19" s="1"/>
  <c r="AJ126" i="19" s="1"/>
  <c r="AJ127" i="19" s="1"/>
  <c r="AJ128" i="19" s="1"/>
  <c r="AJ129" i="19" s="1"/>
  <c r="AJ130" i="19" s="1"/>
  <c r="AJ131" i="19" s="1"/>
  <c r="AJ132" i="19" s="1"/>
  <c r="AJ133" i="19" s="1"/>
  <c r="AJ134" i="19" s="1"/>
  <c r="AJ135" i="19" s="1"/>
  <c r="AJ136" i="19" s="1"/>
  <c r="AJ137" i="19" s="1"/>
  <c r="AJ138" i="19" s="1"/>
  <c r="AJ139" i="19" s="1"/>
  <c r="AJ140" i="19" s="1"/>
  <c r="AJ142" i="19"/>
  <c r="AU94" i="19"/>
  <c r="AU95" i="19" s="1"/>
  <c r="AU96" i="19" s="1"/>
  <c r="AU97" i="19" s="1"/>
  <c r="AU98" i="19" s="1"/>
  <c r="AU99" i="19" s="1"/>
  <c r="AU100" i="19" s="1"/>
  <c r="AU101" i="19" s="1"/>
  <c r="AU102" i="19" s="1"/>
  <c r="AU103" i="19" s="1"/>
  <c r="AU104" i="19" s="1"/>
  <c r="AU105" i="19" s="1"/>
  <c r="AU106" i="19" s="1"/>
  <c r="AU107" i="19" s="1"/>
  <c r="AU108" i="19" s="1"/>
  <c r="AU109" i="19" s="1"/>
  <c r="AU110" i="19" s="1"/>
  <c r="AU111" i="19" s="1"/>
  <c r="AU112" i="19" s="1"/>
  <c r="AU113" i="19" s="1"/>
  <c r="AU114" i="19" s="1"/>
  <c r="AU115" i="19" s="1"/>
  <c r="AU116" i="19" s="1"/>
  <c r="AU117" i="19" s="1"/>
  <c r="AU118" i="19" s="1"/>
  <c r="AU119" i="19" s="1"/>
  <c r="AU120" i="19" s="1"/>
  <c r="AU121" i="19" s="1"/>
  <c r="AU122" i="19" s="1"/>
  <c r="AU123" i="19" s="1"/>
  <c r="AU124" i="19" s="1"/>
  <c r="AU125" i="19" s="1"/>
  <c r="AU126" i="19" s="1"/>
  <c r="AU127" i="19" s="1"/>
  <c r="AU128" i="19" s="1"/>
  <c r="AU129" i="19" s="1"/>
  <c r="AU130" i="19" s="1"/>
  <c r="AU131" i="19" s="1"/>
  <c r="AU132" i="19" s="1"/>
  <c r="AU133" i="19" s="1"/>
  <c r="AU134" i="19" s="1"/>
  <c r="AU135" i="19" s="1"/>
  <c r="AU136" i="19" s="1"/>
  <c r="AU137" i="19" s="1"/>
  <c r="AU138" i="19" s="1"/>
  <c r="AU139" i="19" s="1"/>
  <c r="AU140" i="19" s="1"/>
  <c r="AU142" i="19"/>
  <c r="AS94" i="19"/>
  <c r="AS95" i="19" s="1"/>
  <c r="AS96" i="19" s="1"/>
  <c r="AS97" i="19" s="1"/>
  <c r="AS98" i="19" s="1"/>
  <c r="AS99" i="19" s="1"/>
  <c r="AS100" i="19" s="1"/>
  <c r="AS101" i="19" s="1"/>
  <c r="AS102" i="19" s="1"/>
  <c r="AS103" i="19" s="1"/>
  <c r="AS104" i="19" s="1"/>
  <c r="AS105" i="19" s="1"/>
  <c r="AS106" i="19" s="1"/>
  <c r="AS107" i="19" s="1"/>
  <c r="AS108" i="19" s="1"/>
  <c r="AS109" i="19" s="1"/>
  <c r="AS110" i="19" s="1"/>
  <c r="AS111" i="19" s="1"/>
  <c r="AS112" i="19" s="1"/>
  <c r="AS113" i="19" s="1"/>
  <c r="AS114" i="19" s="1"/>
  <c r="AS115" i="19" s="1"/>
  <c r="AS116" i="19" s="1"/>
  <c r="AS117" i="19" s="1"/>
  <c r="AS118" i="19" s="1"/>
  <c r="AS119" i="19" s="1"/>
  <c r="AS120" i="19" s="1"/>
  <c r="AS121" i="19" s="1"/>
  <c r="AS122" i="19" s="1"/>
  <c r="AS123" i="19" s="1"/>
  <c r="AS124" i="19" s="1"/>
  <c r="AS125" i="19" s="1"/>
  <c r="AS126" i="19" s="1"/>
  <c r="AS127" i="19" s="1"/>
  <c r="AS128" i="19" s="1"/>
  <c r="AS129" i="19" s="1"/>
  <c r="AS130" i="19" s="1"/>
  <c r="AS131" i="19" s="1"/>
  <c r="AS132" i="19" s="1"/>
  <c r="AS133" i="19" s="1"/>
  <c r="AS134" i="19" s="1"/>
  <c r="AS135" i="19" s="1"/>
  <c r="AS136" i="19" s="1"/>
  <c r="AS137" i="19" s="1"/>
  <c r="AS138" i="19" s="1"/>
  <c r="AS139" i="19" s="1"/>
  <c r="AS140" i="19" s="1"/>
  <c r="AS142" i="19"/>
  <c r="AQ94" i="19"/>
  <c r="AQ95" i="19" s="1"/>
  <c r="AQ96" i="19" s="1"/>
  <c r="AQ97" i="19" s="1"/>
  <c r="AQ98" i="19" s="1"/>
  <c r="AQ99" i="19" s="1"/>
  <c r="AQ100" i="19" s="1"/>
  <c r="AQ101" i="19" s="1"/>
  <c r="AQ102" i="19" s="1"/>
  <c r="AQ103" i="19" s="1"/>
  <c r="AQ104" i="19" s="1"/>
  <c r="AQ105" i="19" s="1"/>
  <c r="AQ106" i="19" s="1"/>
  <c r="AQ107" i="19" s="1"/>
  <c r="AQ108" i="19" s="1"/>
  <c r="AQ109" i="19" s="1"/>
  <c r="AQ110" i="19" s="1"/>
  <c r="AQ111" i="19" s="1"/>
  <c r="AQ112" i="19" s="1"/>
  <c r="AQ113" i="19" s="1"/>
  <c r="AQ114" i="19" s="1"/>
  <c r="AQ115" i="19" s="1"/>
  <c r="AQ116" i="19" s="1"/>
  <c r="AQ117" i="19" s="1"/>
  <c r="AQ118" i="19" s="1"/>
  <c r="AQ119" i="19" s="1"/>
  <c r="AQ120" i="19" s="1"/>
  <c r="AQ121" i="19" s="1"/>
  <c r="AQ122" i="19" s="1"/>
  <c r="AQ123" i="19" s="1"/>
  <c r="AQ124" i="19" s="1"/>
  <c r="AQ125" i="19" s="1"/>
  <c r="AQ126" i="19" s="1"/>
  <c r="AQ127" i="19" s="1"/>
  <c r="AQ128" i="19" s="1"/>
  <c r="AQ129" i="19" s="1"/>
  <c r="AQ130" i="19" s="1"/>
  <c r="AQ131" i="19" s="1"/>
  <c r="AQ132" i="19" s="1"/>
  <c r="AQ133" i="19" s="1"/>
  <c r="AQ134" i="19" s="1"/>
  <c r="AQ135" i="19" s="1"/>
  <c r="AQ136" i="19" s="1"/>
  <c r="AQ137" i="19" s="1"/>
  <c r="AQ138" i="19" s="1"/>
  <c r="AQ139" i="19" s="1"/>
  <c r="AQ140" i="19" s="1"/>
  <c r="AQ142" i="19"/>
  <c r="AL94" i="19"/>
  <c r="AL95" i="19" s="1"/>
  <c r="AL96" i="19" s="1"/>
  <c r="AL97" i="19" s="1"/>
  <c r="AL98" i="19" s="1"/>
  <c r="AL99" i="19" s="1"/>
  <c r="AL100" i="19" s="1"/>
  <c r="AL101" i="19" s="1"/>
  <c r="AL102" i="19" s="1"/>
  <c r="AL103" i="19" s="1"/>
  <c r="AL104" i="19" s="1"/>
  <c r="AL105" i="19" s="1"/>
  <c r="AL106" i="19" s="1"/>
  <c r="AL107" i="19" s="1"/>
  <c r="AL108" i="19" s="1"/>
  <c r="AL109" i="19" s="1"/>
  <c r="AL110" i="19" s="1"/>
  <c r="AL111" i="19" s="1"/>
  <c r="AL112" i="19" s="1"/>
  <c r="AL113" i="19" s="1"/>
  <c r="AL114" i="19" s="1"/>
  <c r="AL115" i="19" s="1"/>
  <c r="AL116" i="19" s="1"/>
  <c r="AL117" i="19" s="1"/>
  <c r="AL118" i="19" s="1"/>
  <c r="AL119" i="19" s="1"/>
  <c r="AL120" i="19" s="1"/>
  <c r="AL121" i="19" s="1"/>
  <c r="AL122" i="19" s="1"/>
  <c r="AL123" i="19" s="1"/>
  <c r="AL124" i="19" s="1"/>
  <c r="AL125" i="19" s="1"/>
  <c r="AL126" i="19" s="1"/>
  <c r="AL127" i="19" s="1"/>
  <c r="AL128" i="19" s="1"/>
  <c r="AL129" i="19" s="1"/>
  <c r="AL130" i="19" s="1"/>
  <c r="AL131" i="19" s="1"/>
  <c r="AL132" i="19" s="1"/>
  <c r="AL133" i="19" s="1"/>
  <c r="AL134" i="19" s="1"/>
  <c r="AL135" i="19" s="1"/>
  <c r="AL136" i="19" s="1"/>
  <c r="AL137" i="19" s="1"/>
  <c r="AL138" i="19" s="1"/>
  <c r="AL139" i="19" s="1"/>
  <c r="AL140" i="19" s="1"/>
  <c r="AL142" i="19"/>
  <c r="AW94" i="19"/>
  <c r="AW95" i="19" s="1"/>
  <c r="AW96" i="19" s="1"/>
  <c r="AW97" i="19" s="1"/>
  <c r="AW98" i="19" s="1"/>
  <c r="AW99" i="19" s="1"/>
  <c r="AW100" i="19" s="1"/>
  <c r="AW101" i="19" s="1"/>
  <c r="AW102" i="19" s="1"/>
  <c r="AW103" i="19" s="1"/>
  <c r="AW104" i="19" s="1"/>
  <c r="AW105" i="19" s="1"/>
  <c r="AW106" i="19" s="1"/>
  <c r="AW107" i="19" s="1"/>
  <c r="AW108" i="19" s="1"/>
  <c r="AW109" i="19" s="1"/>
  <c r="AW110" i="19" s="1"/>
  <c r="AW111" i="19" s="1"/>
  <c r="AW112" i="19" s="1"/>
  <c r="AW113" i="19" s="1"/>
  <c r="AW114" i="19" s="1"/>
  <c r="AW115" i="19" s="1"/>
  <c r="AW116" i="19" s="1"/>
  <c r="AW117" i="19" s="1"/>
  <c r="AW118" i="19" s="1"/>
  <c r="AW119" i="19" s="1"/>
  <c r="AW120" i="19" s="1"/>
  <c r="AW121" i="19" s="1"/>
  <c r="AW122" i="19" s="1"/>
  <c r="AW123" i="19" s="1"/>
  <c r="AW124" i="19" s="1"/>
  <c r="AW125" i="19" s="1"/>
  <c r="AW126" i="19" s="1"/>
  <c r="AW127" i="19" s="1"/>
  <c r="AW128" i="19" s="1"/>
  <c r="AW129" i="19" s="1"/>
  <c r="AW130" i="19" s="1"/>
  <c r="AW131" i="19" s="1"/>
  <c r="AW132" i="19" s="1"/>
  <c r="AW133" i="19" s="1"/>
  <c r="AW134" i="19" s="1"/>
  <c r="AW135" i="19" s="1"/>
  <c r="AW136" i="19" s="1"/>
  <c r="AW137" i="19" s="1"/>
  <c r="AW138" i="19" s="1"/>
  <c r="AW139" i="19" s="1"/>
  <c r="AW140" i="19" s="1"/>
  <c r="AW142" i="19"/>
  <c r="AR94" i="19"/>
  <c r="AR95" i="19" s="1"/>
  <c r="AR96" i="19" s="1"/>
  <c r="AR97" i="19" s="1"/>
  <c r="AR98" i="19" s="1"/>
  <c r="AR99" i="19" s="1"/>
  <c r="AR100" i="19" s="1"/>
  <c r="AR101" i="19" s="1"/>
  <c r="AR102" i="19" s="1"/>
  <c r="AR103" i="19" s="1"/>
  <c r="AR104" i="19" s="1"/>
  <c r="AR105" i="19" s="1"/>
  <c r="AR106" i="19" s="1"/>
  <c r="AR107" i="19" s="1"/>
  <c r="AR108" i="19" s="1"/>
  <c r="AR109" i="19" s="1"/>
  <c r="AR110" i="19" s="1"/>
  <c r="AR111" i="19" s="1"/>
  <c r="AR112" i="19" s="1"/>
  <c r="AR113" i="19" s="1"/>
  <c r="AR114" i="19" s="1"/>
  <c r="AR115" i="19" s="1"/>
  <c r="AR116" i="19" s="1"/>
  <c r="AR117" i="19" s="1"/>
  <c r="AR118" i="19" s="1"/>
  <c r="AR119" i="19" s="1"/>
  <c r="AR120" i="19" s="1"/>
  <c r="AR121" i="19" s="1"/>
  <c r="AR122" i="19" s="1"/>
  <c r="AR123" i="19" s="1"/>
  <c r="AR124" i="19" s="1"/>
  <c r="AR125" i="19" s="1"/>
  <c r="AR126" i="19" s="1"/>
  <c r="AR127" i="19" s="1"/>
  <c r="AR128" i="19" s="1"/>
  <c r="AR129" i="19" s="1"/>
  <c r="AR130" i="19" s="1"/>
  <c r="AR131" i="19" s="1"/>
  <c r="AR132" i="19" s="1"/>
  <c r="AR133" i="19" s="1"/>
  <c r="AR134" i="19" s="1"/>
  <c r="AR135" i="19" s="1"/>
  <c r="AR136" i="19" s="1"/>
  <c r="AR137" i="19" s="1"/>
  <c r="AR138" i="19" s="1"/>
  <c r="AR139" i="19" s="1"/>
  <c r="AR140" i="19" s="1"/>
  <c r="AR142" i="19"/>
  <c r="AK94" i="19"/>
  <c r="AK95" i="19" s="1"/>
  <c r="AK96" i="19" s="1"/>
  <c r="AK97" i="19" s="1"/>
  <c r="AK98" i="19" s="1"/>
  <c r="AK99" i="19" s="1"/>
  <c r="AK100" i="19" s="1"/>
  <c r="AK101" i="19" s="1"/>
  <c r="AK102" i="19" s="1"/>
  <c r="AK103" i="19" s="1"/>
  <c r="AK104" i="19" s="1"/>
  <c r="AK105" i="19" s="1"/>
  <c r="AK106" i="19" s="1"/>
  <c r="AK107" i="19" s="1"/>
  <c r="AK108" i="19" s="1"/>
  <c r="AK109" i="19" s="1"/>
  <c r="AK110" i="19" s="1"/>
  <c r="AK111" i="19" s="1"/>
  <c r="AK112" i="19" s="1"/>
  <c r="AK113" i="19" s="1"/>
  <c r="AK114" i="19" s="1"/>
  <c r="AK115" i="19" s="1"/>
  <c r="AK116" i="19" s="1"/>
  <c r="AK117" i="19" s="1"/>
  <c r="AK118" i="19" s="1"/>
  <c r="AK119" i="19" s="1"/>
  <c r="AK120" i="19" s="1"/>
  <c r="AK121" i="19" s="1"/>
  <c r="AK122" i="19" s="1"/>
  <c r="AK123" i="19" s="1"/>
  <c r="AK124" i="19" s="1"/>
  <c r="AK125" i="19" s="1"/>
  <c r="AK126" i="19" s="1"/>
  <c r="AK127" i="19" s="1"/>
  <c r="AK128" i="19" s="1"/>
  <c r="AK129" i="19" s="1"/>
  <c r="AK130" i="19" s="1"/>
  <c r="AK131" i="19" s="1"/>
  <c r="AK132" i="19" s="1"/>
  <c r="AK133" i="19" s="1"/>
  <c r="AK134" i="19" s="1"/>
  <c r="AK135" i="19" s="1"/>
  <c r="AK136" i="19" s="1"/>
  <c r="AK137" i="19" s="1"/>
  <c r="AK138" i="19" s="1"/>
  <c r="AK139" i="19" s="1"/>
  <c r="AK140" i="19" s="1"/>
  <c r="AK142" i="19"/>
  <c r="AG94" i="19"/>
  <c r="AG95" i="19" s="1"/>
  <c r="AG96" i="19" s="1"/>
  <c r="AG97" i="19" s="1"/>
  <c r="AG98" i="19" s="1"/>
  <c r="AG99" i="19" s="1"/>
  <c r="AG100" i="19" s="1"/>
  <c r="AG101" i="19" s="1"/>
  <c r="AG102" i="19" s="1"/>
  <c r="AG103" i="19" s="1"/>
  <c r="AG104" i="19" s="1"/>
  <c r="AG105" i="19" s="1"/>
  <c r="AG106" i="19" s="1"/>
  <c r="AG107" i="19" s="1"/>
  <c r="AG108" i="19" s="1"/>
  <c r="AG109" i="19" s="1"/>
  <c r="AG110" i="19" s="1"/>
  <c r="AG111" i="19" s="1"/>
  <c r="AG112" i="19" s="1"/>
  <c r="AG113" i="19" s="1"/>
  <c r="AG114" i="19" s="1"/>
  <c r="AG115" i="19" s="1"/>
  <c r="AG116" i="19" s="1"/>
  <c r="AG117" i="19" s="1"/>
  <c r="AG118" i="19" s="1"/>
  <c r="AG119" i="19" s="1"/>
  <c r="AG120" i="19" s="1"/>
  <c r="AG121" i="19" s="1"/>
  <c r="AG122" i="19" s="1"/>
  <c r="AG123" i="19" s="1"/>
  <c r="AG124" i="19" s="1"/>
  <c r="AG125" i="19" s="1"/>
  <c r="AG126" i="19" s="1"/>
  <c r="AG127" i="19" s="1"/>
  <c r="AG128" i="19" s="1"/>
  <c r="AG129" i="19" s="1"/>
  <c r="AG130" i="19" s="1"/>
  <c r="AG131" i="19" s="1"/>
  <c r="AG132" i="19" s="1"/>
  <c r="AG133" i="19" s="1"/>
  <c r="AG134" i="19" s="1"/>
  <c r="AG135" i="19" s="1"/>
  <c r="AG136" i="19" s="1"/>
  <c r="AG137" i="19" s="1"/>
  <c r="AG138" i="19" s="1"/>
  <c r="AG139" i="19" s="1"/>
  <c r="AG140" i="19" s="1"/>
  <c r="AG142" i="19"/>
  <c r="AT94" i="19"/>
  <c r="AT95" i="19" s="1"/>
  <c r="AT96" i="19" s="1"/>
  <c r="AT97" i="19" s="1"/>
  <c r="AT98" i="19" s="1"/>
  <c r="AT99" i="19" s="1"/>
  <c r="AT100" i="19" s="1"/>
  <c r="AT101" i="19" s="1"/>
  <c r="AT102" i="19" s="1"/>
  <c r="AT103" i="19" s="1"/>
  <c r="AT104" i="19" s="1"/>
  <c r="AT105" i="19" s="1"/>
  <c r="AT106" i="19" s="1"/>
  <c r="AT107" i="19" s="1"/>
  <c r="AT108" i="19" s="1"/>
  <c r="AT109" i="19" s="1"/>
  <c r="AT110" i="19" s="1"/>
  <c r="AT111" i="19" s="1"/>
  <c r="AT112" i="19" s="1"/>
  <c r="AT113" i="19" s="1"/>
  <c r="AT114" i="19" s="1"/>
  <c r="AT115" i="19" s="1"/>
  <c r="AT116" i="19" s="1"/>
  <c r="AT117" i="19" s="1"/>
  <c r="AT118" i="19" s="1"/>
  <c r="AT119" i="19" s="1"/>
  <c r="AT120" i="19" s="1"/>
  <c r="AT121" i="19" s="1"/>
  <c r="AT122" i="19" s="1"/>
  <c r="AT123" i="19" s="1"/>
  <c r="AT124" i="19" s="1"/>
  <c r="AT125" i="19" s="1"/>
  <c r="AT126" i="19" s="1"/>
  <c r="AT127" i="19" s="1"/>
  <c r="AT128" i="19" s="1"/>
  <c r="AT129" i="19" s="1"/>
  <c r="AT130" i="19" s="1"/>
  <c r="AT131" i="19" s="1"/>
  <c r="AT132" i="19" s="1"/>
  <c r="AT133" i="19" s="1"/>
  <c r="AT134" i="19" s="1"/>
  <c r="AT135" i="19" s="1"/>
  <c r="AT136" i="19" s="1"/>
  <c r="AT137" i="19" s="1"/>
  <c r="AT138" i="19" s="1"/>
  <c r="AT139" i="19" s="1"/>
  <c r="AT140" i="19" s="1"/>
  <c r="AT142" i="19"/>
  <c r="AF143" i="19"/>
  <c r="AF144" i="19" s="1"/>
  <c r="AH143" i="19"/>
  <c r="AH144" i="19" s="1"/>
  <c r="E23" i="40"/>
  <c r="E22" i="40"/>
  <c r="E21" i="40"/>
  <c r="E20" i="40"/>
  <c r="E19" i="40"/>
  <c r="E18" i="40"/>
  <c r="E17" i="40"/>
  <c r="E16" i="40"/>
  <c r="E15" i="40"/>
  <c r="E14" i="40"/>
  <c r="E13" i="40"/>
  <c r="E12" i="40"/>
  <c r="E11" i="40"/>
  <c r="E10" i="40"/>
  <c r="E9" i="40"/>
  <c r="E8" i="40"/>
  <c r="G21" i="43"/>
  <c r="G20" i="43"/>
  <c r="G11" i="43"/>
  <c r="G14" i="43"/>
  <c r="AV143" i="19" l="1"/>
  <c r="AV144" i="19" s="1"/>
  <c r="AG143" i="19"/>
  <c r="AG144" i="19" s="1"/>
  <c r="AG145" i="19" s="1"/>
  <c r="AR143" i="19"/>
  <c r="AR144" i="19" s="1"/>
  <c r="AR145" i="19" s="1"/>
  <c r="AR146" i="19" s="1"/>
  <c r="AR147" i="19" s="1"/>
  <c r="AR148" i="19" s="1"/>
  <c r="AR149" i="19" s="1"/>
  <c r="AR150" i="19" s="1"/>
  <c r="AR151" i="19" s="1"/>
  <c r="AL143" i="19"/>
  <c r="AL144" i="19" s="1"/>
  <c r="AL145" i="19" s="1"/>
  <c r="AL146" i="19" s="1"/>
  <c r="AL147" i="19" s="1"/>
  <c r="AL148" i="19" s="1"/>
  <c r="AL149" i="19" s="1"/>
  <c r="AS143" i="19"/>
  <c r="AS144" i="19" s="1"/>
  <c r="AS145" i="19" s="1"/>
  <c r="AS146" i="19" s="1"/>
  <c r="AJ143" i="19"/>
  <c r="AJ144" i="19" s="1"/>
  <c r="AJ145" i="19" s="1"/>
  <c r="AJ146" i="19" s="1"/>
  <c r="AJ147" i="19" s="1"/>
  <c r="AJ148" i="19" s="1"/>
  <c r="AJ149" i="19" s="1"/>
  <c r="AJ150" i="19" s="1"/>
  <c r="AJ151" i="19" s="1"/>
  <c r="AJ152" i="19" s="1"/>
  <c r="AM143" i="19"/>
  <c r="AM144" i="19" s="1"/>
  <c r="AM145" i="19" s="1"/>
  <c r="AM146" i="19" s="1"/>
  <c r="AM147" i="19" s="1"/>
  <c r="AM148" i="19" s="1"/>
  <c r="AM149" i="19" s="1"/>
  <c r="AX143" i="19"/>
  <c r="AX144" i="19" s="1"/>
  <c r="AX145" i="19" s="1"/>
  <c r="AX146" i="19" s="1"/>
  <c r="AX147" i="19" s="1"/>
  <c r="AX148" i="19" s="1"/>
  <c r="AX149" i="19" s="1"/>
  <c r="AX150" i="19" s="1"/>
  <c r="AX151" i="19" s="1"/>
  <c r="AX152" i="19" s="1"/>
  <c r="AN143" i="19"/>
  <c r="AN144" i="19" s="1"/>
  <c r="AN145" i="19" s="1"/>
  <c r="AN146" i="19" s="1"/>
  <c r="AN147" i="19" s="1"/>
  <c r="AN148" i="19" s="1"/>
  <c r="AN149" i="19" s="1"/>
  <c r="AN150" i="19" s="1"/>
  <c r="AT143" i="19"/>
  <c r="AT144" i="19" s="1"/>
  <c r="AT145" i="19" s="1"/>
  <c r="AT146" i="19" s="1"/>
  <c r="AT147" i="19" s="1"/>
  <c r="AT148" i="19" s="1"/>
  <c r="AT149" i="19" s="1"/>
  <c r="AT150" i="19" s="1"/>
  <c r="AT151" i="19" s="1"/>
  <c r="AT152" i="19" s="1"/>
  <c r="AK143" i="19"/>
  <c r="AK144" i="19" s="1"/>
  <c r="AK145" i="19" s="1"/>
  <c r="AK146" i="19" s="1"/>
  <c r="AK147" i="19" s="1"/>
  <c r="AK148" i="19" s="1"/>
  <c r="AK149" i="19" s="1"/>
  <c r="AK150" i="19" s="1"/>
  <c r="AW143" i="19"/>
  <c r="AW144" i="19" s="1"/>
  <c r="AW145" i="19" s="1"/>
  <c r="AQ143" i="19"/>
  <c r="AQ144" i="19" s="1"/>
  <c r="AQ145" i="19" s="1"/>
  <c r="AQ146" i="19" s="1"/>
  <c r="AQ147" i="19" s="1"/>
  <c r="AQ148" i="19" s="1"/>
  <c r="AQ149" i="19" s="1"/>
  <c r="AU143" i="19"/>
  <c r="AU144" i="19" s="1"/>
  <c r="AU145" i="19" s="1"/>
  <c r="AU146" i="19" s="1"/>
  <c r="AU147" i="19" s="1"/>
  <c r="AU148" i="19" s="1"/>
  <c r="AU149" i="19" s="1"/>
  <c r="AP143" i="19"/>
  <c r="AP144" i="19" s="1"/>
  <c r="AP145" i="19" s="1"/>
  <c r="AP146" i="19" s="1"/>
  <c r="AP147" i="19" s="1"/>
  <c r="AP148" i="19" s="1"/>
  <c r="AP149" i="19" s="1"/>
  <c r="AP150" i="19" s="1"/>
  <c r="AP151" i="19" s="1"/>
  <c r="AP152" i="19" s="1"/>
  <c r="AO143" i="19"/>
  <c r="AO144" i="19" s="1"/>
  <c r="AO145" i="19" s="1"/>
  <c r="AO146" i="19" s="1"/>
  <c r="AO147" i="19" s="1"/>
  <c r="AO148" i="19" s="1"/>
  <c r="AO149" i="19" s="1"/>
  <c r="AO150" i="19" s="1"/>
  <c r="AY143" i="19"/>
  <c r="AY144" i="19" s="1"/>
  <c r="AY145" i="19" s="1"/>
  <c r="AV145" i="19"/>
  <c r="AV146" i="19" s="1"/>
  <c r="AV147" i="19" s="1"/>
  <c r="AI145" i="19"/>
  <c r="AI146" i="19" s="1"/>
  <c r="AI147" i="19" s="1"/>
  <c r="AI148" i="19" s="1"/>
  <c r="AI149" i="19" s="1"/>
  <c r="AI150" i="19" s="1"/>
  <c r="AF145" i="19"/>
  <c r="AF146" i="19" s="1"/>
  <c r="AF147" i="19" s="1"/>
  <c r="AF148" i="19" s="1"/>
  <c r="AF149" i="19" s="1"/>
  <c r="AF150" i="19" s="1"/>
  <c r="AF151" i="19" s="1"/>
  <c r="AF152" i="19" s="1"/>
  <c r="AH145" i="19"/>
  <c r="AH146" i="19" s="1"/>
  <c r="AH147" i="19" s="1"/>
  <c r="AH148" i="19" s="1"/>
  <c r="AH149" i="19" s="1"/>
  <c r="AH150" i="19" s="1"/>
  <c r="AH151" i="19" s="1"/>
  <c r="I4" i="11"/>
  <c r="J4" i="11"/>
  <c r="I5" i="11"/>
  <c r="J5" i="11"/>
  <c r="I6" i="11"/>
  <c r="J6" i="11"/>
  <c r="I7" i="11"/>
  <c r="J7" i="11"/>
  <c r="I8" i="11"/>
  <c r="J8" i="11"/>
  <c r="I9" i="11"/>
  <c r="J9" i="11"/>
  <c r="I10" i="11"/>
  <c r="J10" i="11"/>
  <c r="I11" i="11"/>
  <c r="J11" i="11"/>
  <c r="I12" i="11"/>
  <c r="J12" i="11"/>
  <c r="I13" i="11"/>
  <c r="J13" i="11"/>
  <c r="I14" i="11"/>
  <c r="J14" i="11"/>
  <c r="I15" i="11"/>
  <c r="J15" i="11"/>
  <c r="I16" i="11"/>
  <c r="J16" i="11"/>
  <c r="I17" i="11"/>
  <c r="J17" i="11"/>
  <c r="I18" i="11"/>
  <c r="J18" i="11"/>
  <c r="I19" i="11"/>
  <c r="J19" i="11"/>
  <c r="I20" i="11"/>
  <c r="J20" i="11"/>
  <c r="I21" i="11"/>
  <c r="J21" i="11"/>
  <c r="I22" i="11"/>
  <c r="J22" i="11"/>
  <c r="I23" i="11"/>
  <c r="J23" i="11"/>
  <c r="I24" i="11"/>
  <c r="J24" i="11"/>
  <c r="I25" i="11"/>
  <c r="J25" i="11"/>
  <c r="I26" i="11"/>
  <c r="J26" i="11"/>
  <c r="I27" i="11"/>
  <c r="J27" i="11"/>
  <c r="I28" i="11"/>
  <c r="J28" i="11"/>
  <c r="I29" i="11"/>
  <c r="J29" i="11"/>
  <c r="I30" i="11"/>
  <c r="J30" i="11"/>
  <c r="I31" i="11"/>
  <c r="J31" i="11"/>
  <c r="I32" i="11"/>
  <c r="J32" i="11"/>
  <c r="I33" i="11"/>
  <c r="J33" i="11"/>
  <c r="I34" i="11"/>
  <c r="J34" i="11"/>
  <c r="I35" i="11"/>
  <c r="J35" i="11"/>
  <c r="I36" i="11"/>
  <c r="J36" i="11"/>
  <c r="I37" i="11"/>
  <c r="J37" i="11"/>
  <c r="J3" i="11"/>
  <c r="I3" i="11"/>
  <c r="J40" i="41"/>
  <c r="I40" i="41"/>
  <c r="E12" i="41"/>
  <c r="AO151" i="19" l="1"/>
  <c r="AO152" i="19" s="1"/>
  <c r="AO153" i="19" s="1"/>
  <c r="AO154" i="19" s="1"/>
  <c r="AO155" i="19" s="1"/>
  <c r="AP153" i="19"/>
  <c r="AP154" i="19" s="1"/>
  <c r="AP155" i="19" s="1"/>
  <c r="AP156" i="19" s="1"/>
  <c r="AN151" i="19"/>
  <c r="AN152" i="19" s="1"/>
  <c r="AN153" i="19" s="1"/>
  <c r="AN154" i="19" s="1"/>
  <c r="AN155" i="19" s="1"/>
  <c r="AN156" i="19" s="1"/>
  <c r="AJ153" i="19"/>
  <c r="AJ154" i="19" s="1"/>
  <c r="AJ155" i="19" s="1"/>
  <c r="AJ156" i="19" s="1"/>
  <c r="AJ157" i="19" s="1"/>
  <c r="AJ158" i="19" s="1"/>
  <c r="AF153" i="19"/>
  <c r="AF154" i="19" s="1"/>
  <c r="AF155" i="19" s="1"/>
  <c r="AF156" i="19" s="1"/>
  <c r="AF157" i="19" s="1"/>
  <c r="AF158" i="19" s="1"/>
  <c r="AG146" i="19"/>
  <c r="AG147" i="19" s="1"/>
  <c r="AG148" i="19" s="1"/>
  <c r="AG149" i="19" s="1"/>
  <c r="AG150" i="19" s="1"/>
  <c r="AG151" i="19" s="1"/>
  <c r="AG152" i="19" s="1"/>
  <c r="AG153" i="19" s="1"/>
  <c r="AG154" i="19" s="1"/>
  <c r="AG155" i="19" s="1"/>
  <c r="AG156" i="19" s="1"/>
  <c r="AG157" i="19" s="1"/>
  <c r="AG158" i="19" s="1"/>
  <c r="AU150" i="19"/>
  <c r="AV148" i="19"/>
  <c r="AV149" i="19" s="1"/>
  <c r="AV150" i="19" s="1"/>
  <c r="AV151" i="19" s="1"/>
  <c r="AV152" i="19" s="1"/>
  <c r="AV153" i="19" s="1"/>
  <c r="AV154" i="19" s="1"/>
  <c r="AV155" i="19" s="1"/>
  <c r="AV156" i="19" s="1"/>
  <c r="AW146" i="19"/>
  <c r="AW147" i="19" s="1"/>
  <c r="AW148" i="19" s="1"/>
  <c r="AW149" i="19" s="1"/>
  <c r="AW150" i="19" s="1"/>
  <c r="AW151" i="19" s="1"/>
  <c r="AW152" i="19" s="1"/>
  <c r="AW153" i="19" s="1"/>
  <c r="AW154" i="19" s="1"/>
  <c r="AW155" i="19" s="1"/>
  <c r="AW156" i="19" s="1"/>
  <c r="AX153" i="19"/>
  <c r="AR152" i="19"/>
  <c r="AQ150" i="19"/>
  <c r="AK151" i="19"/>
  <c r="AM150" i="19"/>
  <c r="AM151" i="19" s="1"/>
  <c r="AM152" i="19" s="1"/>
  <c r="AM153" i="19" s="1"/>
  <c r="AM154" i="19" s="1"/>
  <c r="AM155" i="19" s="1"/>
  <c r="AM156" i="19" s="1"/>
  <c r="AS147" i="19"/>
  <c r="AS148" i="19" s="1"/>
  <c r="AS149" i="19" s="1"/>
  <c r="AS150" i="19" s="1"/>
  <c r="AS151" i="19" s="1"/>
  <c r="AS152" i="19" s="1"/>
  <c r="AS153" i="19" s="1"/>
  <c r="AS154" i="19" s="1"/>
  <c r="AS155" i="19" s="1"/>
  <c r="AS156" i="19" s="1"/>
  <c r="AS157" i="19" s="1"/>
  <c r="AI151" i="19"/>
  <c r="AI152" i="19" s="1"/>
  <c r="AI153" i="19" s="1"/>
  <c r="AI154" i="19" s="1"/>
  <c r="AI155" i="19" s="1"/>
  <c r="AI156" i="19" s="1"/>
  <c r="AI157" i="19" s="1"/>
  <c r="AI158" i="19" s="1"/>
  <c r="AY146" i="19"/>
  <c r="AY147" i="19" s="1"/>
  <c r="AY148" i="19" s="1"/>
  <c r="AY149" i="19" s="1"/>
  <c r="AY150" i="19" s="1"/>
  <c r="AY151" i="19" s="1"/>
  <c r="AY152" i="19" s="1"/>
  <c r="AY153" i="19" s="1"/>
  <c r="AY154" i="19" s="1"/>
  <c r="AY155" i="19" s="1"/>
  <c r="AY156" i="19" s="1"/>
  <c r="AL150" i="19"/>
  <c r="AL151" i="19" s="1"/>
  <c r="AL152" i="19" s="1"/>
  <c r="AL153" i="19" s="1"/>
  <c r="AL154" i="19" s="1"/>
  <c r="AL155" i="19" s="1"/>
  <c r="AL156" i="19" s="1"/>
  <c r="AT153" i="19"/>
  <c r="AT154" i="19" s="1"/>
  <c r="AT155" i="19" s="1"/>
  <c r="AT156" i="19" s="1"/>
  <c r="AT157" i="19" s="1"/>
  <c r="AT158" i="19" s="1"/>
  <c r="AH152" i="19"/>
  <c r="AO156" i="19" l="1"/>
  <c r="AO157" i="19" s="1"/>
  <c r="AO158" i="19" s="1"/>
  <c r="AO159" i="19" s="1"/>
  <c r="AO160" i="19" s="1"/>
  <c r="AO161" i="19" s="1"/>
  <c r="AO162" i="19" s="1"/>
  <c r="AP157" i="19"/>
  <c r="AP158" i="19" s="1"/>
  <c r="AP159" i="19" s="1"/>
  <c r="AP160" i="19" s="1"/>
  <c r="AP161" i="19" s="1"/>
  <c r="AP162" i="19" s="1"/>
  <c r="AP163" i="19" s="1"/>
  <c r="AP164" i="19" s="1"/>
  <c r="AF159" i="19"/>
  <c r="AF160" i="19" s="1"/>
  <c r="AF161" i="19" s="1"/>
  <c r="AL157" i="19"/>
  <c r="AL158" i="19" s="1"/>
  <c r="AL159" i="19" s="1"/>
  <c r="AL160" i="19" s="1"/>
  <c r="AL161" i="19" s="1"/>
  <c r="AL162" i="19" s="1"/>
  <c r="AN157" i="19"/>
  <c r="AN158" i="19" s="1"/>
  <c r="AN159" i="19" s="1"/>
  <c r="AN160" i="19" s="1"/>
  <c r="AN161" i="19" s="1"/>
  <c r="AN162" i="19" s="1"/>
  <c r="AN163" i="19" s="1"/>
  <c r="AY157" i="19"/>
  <c r="AY158" i="19" s="1"/>
  <c r="AG159" i="19"/>
  <c r="AG160" i="19" s="1"/>
  <c r="AG161" i="19" s="1"/>
  <c r="AG162" i="19" s="1"/>
  <c r="AG163" i="19" s="1"/>
  <c r="AU151" i="19"/>
  <c r="AU152" i="19" s="1"/>
  <c r="AU153" i="19" s="1"/>
  <c r="AU154" i="19" s="1"/>
  <c r="AU155" i="19" s="1"/>
  <c r="AU156" i="19" s="1"/>
  <c r="AU157" i="19" s="1"/>
  <c r="AU158" i="19" s="1"/>
  <c r="AU159" i="19" s="1"/>
  <c r="AU160" i="19" s="1"/>
  <c r="AU161" i="19" s="1"/>
  <c r="AU162" i="19" s="1"/>
  <c r="AI159" i="19"/>
  <c r="AI160" i="19" s="1"/>
  <c r="AI161" i="19" s="1"/>
  <c r="AI162" i="19" s="1"/>
  <c r="AI163" i="19" s="1"/>
  <c r="AJ159" i="19"/>
  <c r="AJ160" i="19" s="1"/>
  <c r="AJ161" i="19" s="1"/>
  <c r="AJ162" i="19" s="1"/>
  <c r="AJ163" i="19" s="1"/>
  <c r="AJ164" i="19" s="1"/>
  <c r="AS158" i="19"/>
  <c r="AX154" i="19"/>
  <c r="AX155" i="19" s="1"/>
  <c r="AX156" i="19" s="1"/>
  <c r="AX157" i="19" s="1"/>
  <c r="AX158" i="19" s="1"/>
  <c r="AX159" i="19" s="1"/>
  <c r="AX160" i="19" s="1"/>
  <c r="AX161" i="19" s="1"/>
  <c r="AX162" i="19" s="1"/>
  <c r="AX163" i="19" s="1"/>
  <c r="AM157" i="19"/>
  <c r="AM158" i="19" s="1"/>
  <c r="AM159" i="19" s="1"/>
  <c r="AM160" i="19" s="1"/>
  <c r="AM161" i="19" s="1"/>
  <c r="AM162" i="19" s="1"/>
  <c r="AK152" i="19"/>
  <c r="AK153" i="19" s="1"/>
  <c r="AK154" i="19" s="1"/>
  <c r="AK155" i="19" s="1"/>
  <c r="AK156" i="19" s="1"/>
  <c r="AK157" i="19" s="1"/>
  <c r="AK158" i="19" s="1"/>
  <c r="AK159" i="19" s="1"/>
  <c r="AK160" i="19" s="1"/>
  <c r="AK161" i="19" s="1"/>
  <c r="AK162" i="19" s="1"/>
  <c r="AK163" i="19" s="1"/>
  <c r="AK164" i="19" s="1"/>
  <c r="AK165" i="19" s="1"/>
  <c r="AK166" i="19" s="1"/>
  <c r="AV157" i="19"/>
  <c r="AV158" i="19" s="1"/>
  <c r="AV159" i="19" s="1"/>
  <c r="AV160" i="19" s="1"/>
  <c r="AV161" i="19" s="1"/>
  <c r="AV162" i="19" s="1"/>
  <c r="AR153" i="19"/>
  <c r="AR154" i="19" s="1"/>
  <c r="AR155" i="19" s="1"/>
  <c r="AR156" i="19" s="1"/>
  <c r="AR157" i="19" s="1"/>
  <c r="AR158" i="19" s="1"/>
  <c r="AR159" i="19" s="1"/>
  <c r="AR160" i="19" s="1"/>
  <c r="AR161" i="19" s="1"/>
  <c r="AR162" i="19" s="1"/>
  <c r="AR163" i="19" s="1"/>
  <c r="AT159" i="19"/>
  <c r="AQ151" i="19"/>
  <c r="AQ152" i="19" s="1"/>
  <c r="AQ153" i="19" s="1"/>
  <c r="AQ154" i="19" s="1"/>
  <c r="AQ155" i="19" s="1"/>
  <c r="AQ156" i="19" s="1"/>
  <c r="AQ157" i="19" s="1"/>
  <c r="AQ158" i="19" s="1"/>
  <c r="AQ159" i="19" s="1"/>
  <c r="AQ160" i="19" s="1"/>
  <c r="AQ161" i="19" s="1"/>
  <c r="AQ162" i="19" s="1"/>
  <c r="AW157" i="19"/>
  <c r="AH153" i="19"/>
  <c r="Z3" i="39"/>
  <c r="Y3" i="39"/>
  <c r="X3" i="39"/>
  <c r="W3" i="39"/>
  <c r="V3" i="39"/>
  <c r="U3" i="39"/>
  <c r="T3" i="39"/>
  <c r="S3" i="39"/>
  <c r="R3" i="39"/>
  <c r="Q3" i="39"/>
  <c r="P3" i="39"/>
  <c r="O3" i="39"/>
  <c r="N3" i="39"/>
  <c r="M3" i="39"/>
  <c r="L3" i="39"/>
  <c r="K3" i="39"/>
  <c r="J3" i="39"/>
  <c r="I3" i="39"/>
  <c r="H3" i="39"/>
  <c r="G3" i="39"/>
  <c r="X3" i="38"/>
  <c r="W3" i="38"/>
  <c r="V3" i="38"/>
  <c r="U3" i="38"/>
  <c r="T3" i="38"/>
  <c r="S3" i="38"/>
  <c r="R3" i="38"/>
  <c r="Q3" i="38"/>
  <c r="P3" i="38"/>
  <c r="O3" i="38"/>
  <c r="N3" i="38"/>
  <c r="M3" i="38"/>
  <c r="L3" i="38"/>
  <c r="K3" i="38"/>
  <c r="J3" i="38"/>
  <c r="I3" i="38"/>
  <c r="H3" i="38"/>
  <c r="G3" i="38"/>
  <c r="F3" i="38"/>
  <c r="E3" i="38"/>
  <c r="X3" i="37"/>
  <c r="W3" i="37"/>
  <c r="V3" i="37"/>
  <c r="U3" i="37"/>
  <c r="T3" i="37"/>
  <c r="S3" i="37"/>
  <c r="R3" i="37"/>
  <c r="Q3" i="37"/>
  <c r="P3" i="37"/>
  <c r="O3" i="37"/>
  <c r="N3" i="37"/>
  <c r="M3" i="37"/>
  <c r="L3" i="37"/>
  <c r="K3" i="37"/>
  <c r="J3" i="37"/>
  <c r="I3" i="37"/>
  <c r="H3" i="37"/>
  <c r="G3" i="37"/>
  <c r="F3" i="37"/>
  <c r="E3" i="37"/>
  <c r="X3" i="36"/>
  <c r="W3" i="36"/>
  <c r="V3" i="36"/>
  <c r="U3" i="36"/>
  <c r="T3" i="36"/>
  <c r="S3" i="36"/>
  <c r="R3" i="36"/>
  <c r="Q3" i="36"/>
  <c r="P3" i="36"/>
  <c r="O3" i="36"/>
  <c r="N3" i="36"/>
  <c r="M3" i="36"/>
  <c r="L3" i="36"/>
  <c r="K3" i="36"/>
  <c r="J3" i="36"/>
  <c r="I3" i="36"/>
  <c r="H3" i="36"/>
  <c r="G3" i="36"/>
  <c r="F3" i="36"/>
  <c r="E3" i="36"/>
  <c r="Z3" i="35"/>
  <c r="Y3" i="35"/>
  <c r="X3" i="35"/>
  <c r="W3" i="35"/>
  <c r="V3" i="35"/>
  <c r="U3" i="35"/>
  <c r="T3" i="35"/>
  <c r="S3" i="35"/>
  <c r="R3" i="35"/>
  <c r="Q3" i="35"/>
  <c r="P3" i="35"/>
  <c r="O3" i="35"/>
  <c r="N3" i="35"/>
  <c r="M3" i="35"/>
  <c r="L3" i="35"/>
  <c r="K3" i="35"/>
  <c r="J3" i="35"/>
  <c r="I3" i="35"/>
  <c r="H3" i="35"/>
  <c r="G3" i="35"/>
  <c r="Y3" i="34"/>
  <c r="X3" i="34"/>
  <c r="W3" i="34"/>
  <c r="V3" i="34"/>
  <c r="U3" i="34"/>
  <c r="T3" i="34"/>
  <c r="S3" i="34"/>
  <c r="R3" i="34"/>
  <c r="Q3" i="34"/>
  <c r="P3" i="34"/>
  <c r="O3" i="34"/>
  <c r="N3" i="34"/>
  <c r="M3" i="34"/>
  <c r="L3" i="34"/>
  <c r="K3" i="34"/>
  <c r="J3" i="34"/>
  <c r="I3" i="34"/>
  <c r="H3" i="34"/>
  <c r="G3" i="34"/>
  <c r="F3" i="34"/>
  <c r="Z3" i="32"/>
  <c r="Y3" i="32"/>
  <c r="X3" i="32"/>
  <c r="W3" i="32"/>
  <c r="V3" i="32"/>
  <c r="U3" i="32"/>
  <c r="T3" i="32"/>
  <c r="S3" i="32"/>
  <c r="R3" i="32"/>
  <c r="Q3" i="32"/>
  <c r="P3" i="32"/>
  <c r="O3" i="32"/>
  <c r="N3" i="32"/>
  <c r="M3" i="32"/>
  <c r="L3" i="32"/>
  <c r="K3" i="32"/>
  <c r="J3" i="32"/>
  <c r="I3" i="32"/>
  <c r="H3" i="32"/>
  <c r="G3" i="32"/>
  <c r="X3" i="31"/>
  <c r="W3" i="31"/>
  <c r="V3" i="31"/>
  <c r="U3" i="31"/>
  <c r="T3" i="31"/>
  <c r="S3" i="31"/>
  <c r="R3" i="31"/>
  <c r="Q3" i="31"/>
  <c r="P3" i="31"/>
  <c r="O3" i="31"/>
  <c r="N3" i="31"/>
  <c r="M3" i="31"/>
  <c r="L3" i="31"/>
  <c r="K3" i="31"/>
  <c r="J3" i="31"/>
  <c r="I3" i="31"/>
  <c r="H3" i="31"/>
  <c r="G3" i="31"/>
  <c r="F3" i="31"/>
  <c r="E3" i="31"/>
  <c r="AB3" i="28"/>
  <c r="AR3" i="33" s="1"/>
  <c r="AA3" i="28"/>
  <c r="AP3" i="33" s="1"/>
  <c r="Z3" i="28"/>
  <c r="AN3" i="29" s="1"/>
  <c r="Y3" i="28"/>
  <c r="AL3" i="33" s="1"/>
  <c r="X3" i="28"/>
  <c r="AJ3" i="33" s="1"/>
  <c r="W3" i="28"/>
  <c r="AH3" i="33" s="1"/>
  <c r="V3" i="28"/>
  <c r="AF3" i="33" s="1"/>
  <c r="U3" i="28"/>
  <c r="AD3" i="33" s="1"/>
  <c r="T3" i="28"/>
  <c r="AB3" i="33" s="1"/>
  <c r="S3" i="28"/>
  <c r="Z3" i="33" s="1"/>
  <c r="R3" i="28"/>
  <c r="X3" i="29" s="1"/>
  <c r="Q3" i="28"/>
  <c r="V3" i="33" s="1"/>
  <c r="P3" i="28"/>
  <c r="T3" i="33" s="1"/>
  <c r="O3" i="28"/>
  <c r="R3" i="33" s="1"/>
  <c r="N3" i="28"/>
  <c r="P3" i="33" s="1"/>
  <c r="M3" i="28"/>
  <c r="N3" i="33" s="1"/>
  <c r="L3" i="28"/>
  <c r="L3" i="33" s="1"/>
  <c r="K3" i="28"/>
  <c r="J3" i="33" s="1"/>
  <c r="J3" i="28"/>
  <c r="H3" i="29" s="1"/>
  <c r="I3" i="28"/>
  <c r="F3" i="33" s="1"/>
  <c r="X3" i="27"/>
  <c r="W3" i="27"/>
  <c r="V3" i="27"/>
  <c r="U3" i="27"/>
  <c r="T3" i="27"/>
  <c r="S3" i="27"/>
  <c r="R3" i="27"/>
  <c r="Q3" i="27"/>
  <c r="P3" i="27"/>
  <c r="O3" i="27"/>
  <c r="N3" i="27"/>
  <c r="M3" i="27"/>
  <c r="L3" i="27"/>
  <c r="K3" i="27"/>
  <c r="J3" i="27"/>
  <c r="I3" i="27"/>
  <c r="H3" i="27"/>
  <c r="G3" i="27"/>
  <c r="F3" i="27"/>
  <c r="E3" i="27"/>
  <c r="Z3" i="26"/>
  <c r="Y3" i="26"/>
  <c r="X3" i="26"/>
  <c r="W3" i="26"/>
  <c r="V3" i="26"/>
  <c r="U3" i="26"/>
  <c r="T3" i="26"/>
  <c r="S3" i="26"/>
  <c r="R3" i="26"/>
  <c r="Q3" i="26"/>
  <c r="P3" i="26"/>
  <c r="O3" i="26"/>
  <c r="N3" i="26"/>
  <c r="M3" i="26"/>
  <c r="L3" i="26"/>
  <c r="K3" i="26"/>
  <c r="J3" i="26"/>
  <c r="I3" i="26"/>
  <c r="H3" i="26"/>
  <c r="G3" i="26"/>
  <c r="Z3" i="25"/>
  <c r="Y3" i="25"/>
  <c r="X3" i="25"/>
  <c r="W3" i="25"/>
  <c r="V3" i="25"/>
  <c r="U3" i="25"/>
  <c r="T3" i="25"/>
  <c r="S3" i="25"/>
  <c r="R3" i="25"/>
  <c r="Q3" i="25"/>
  <c r="P3" i="25"/>
  <c r="O3" i="25"/>
  <c r="N3" i="25"/>
  <c r="M3" i="25"/>
  <c r="L3" i="25"/>
  <c r="K3" i="25"/>
  <c r="J3" i="25"/>
  <c r="I3" i="25"/>
  <c r="H3" i="25"/>
  <c r="G3" i="25"/>
  <c r="Z3" i="24"/>
  <c r="Y3" i="24"/>
  <c r="X3" i="24"/>
  <c r="W3" i="24"/>
  <c r="V3" i="24"/>
  <c r="U3" i="24"/>
  <c r="T3" i="24"/>
  <c r="S3" i="24"/>
  <c r="R3" i="24"/>
  <c r="Q3" i="24"/>
  <c r="P3" i="24"/>
  <c r="O3" i="24"/>
  <c r="N3" i="24"/>
  <c r="M3" i="24"/>
  <c r="L3" i="24"/>
  <c r="K3" i="24"/>
  <c r="J3" i="24"/>
  <c r="I3" i="24"/>
  <c r="H3" i="24"/>
  <c r="G3" i="24"/>
  <c r="Z3" i="23"/>
  <c r="Y3" i="23"/>
  <c r="X3" i="23"/>
  <c r="W3" i="23"/>
  <c r="V3" i="23"/>
  <c r="U3" i="23"/>
  <c r="T3" i="23"/>
  <c r="S3" i="23"/>
  <c r="R3" i="23"/>
  <c r="Q3" i="23"/>
  <c r="P3" i="23"/>
  <c r="O3" i="23"/>
  <c r="N3" i="23"/>
  <c r="M3" i="23"/>
  <c r="L3" i="23"/>
  <c r="K3" i="23"/>
  <c r="J3" i="23"/>
  <c r="I3" i="23"/>
  <c r="H3" i="23"/>
  <c r="G3" i="23"/>
  <c r="Z3" i="22"/>
  <c r="Y3" i="22"/>
  <c r="X3" i="22"/>
  <c r="W3" i="22"/>
  <c r="V3" i="22"/>
  <c r="U3" i="22"/>
  <c r="T3" i="22"/>
  <c r="S3" i="22"/>
  <c r="R3" i="22"/>
  <c r="Q3" i="22"/>
  <c r="P3" i="22"/>
  <c r="O3" i="22"/>
  <c r="N3" i="22"/>
  <c r="M3" i="22"/>
  <c r="L3" i="22"/>
  <c r="K3" i="22"/>
  <c r="J3" i="22"/>
  <c r="I3" i="22"/>
  <c r="H3" i="22"/>
  <c r="G3" i="22"/>
  <c r="Z3" i="20"/>
  <c r="Y3" i="20"/>
  <c r="X3" i="20"/>
  <c r="W3" i="20"/>
  <c r="V3" i="20"/>
  <c r="U3" i="20"/>
  <c r="T3" i="20"/>
  <c r="S3" i="20"/>
  <c r="R3" i="20"/>
  <c r="Q3" i="20"/>
  <c r="P3" i="20"/>
  <c r="O3" i="20"/>
  <c r="N3" i="20"/>
  <c r="M3" i="20"/>
  <c r="L3" i="20"/>
  <c r="K3" i="20"/>
  <c r="J3" i="20"/>
  <c r="I3" i="20"/>
  <c r="H3" i="20"/>
  <c r="G3" i="20"/>
  <c r="X3" i="21"/>
  <c r="W3" i="21"/>
  <c r="V3" i="21"/>
  <c r="U3" i="21"/>
  <c r="T3" i="21"/>
  <c r="S3" i="21"/>
  <c r="R3" i="21"/>
  <c r="Q3" i="21"/>
  <c r="P3" i="21"/>
  <c r="O3" i="21"/>
  <c r="N3" i="21"/>
  <c r="M3" i="21"/>
  <c r="L3" i="21"/>
  <c r="K3" i="21"/>
  <c r="J3" i="21"/>
  <c r="I3" i="21"/>
  <c r="H3" i="21"/>
  <c r="G3" i="21"/>
  <c r="F3" i="21"/>
  <c r="E3" i="21"/>
  <c r="AP165" i="19" l="1"/>
  <c r="AP166" i="19" s="1"/>
  <c r="AP167" i="19" s="1"/>
  <c r="AP168" i="19" s="1"/>
  <c r="AP169" i="19" s="1"/>
  <c r="AP170" i="19" s="1"/>
  <c r="AN164" i="19"/>
  <c r="AN165" i="19" s="1"/>
  <c r="AN166" i="19" s="1"/>
  <c r="AN167" i="19" s="1"/>
  <c r="AN168" i="19" s="1"/>
  <c r="AN169" i="19" s="1"/>
  <c r="AN170" i="19" s="1"/>
  <c r="AM163" i="19"/>
  <c r="AM164" i="19" s="1"/>
  <c r="AM165" i="19" s="1"/>
  <c r="AM166" i="19" s="1"/>
  <c r="AM167" i="19" s="1"/>
  <c r="AM168" i="19" s="1"/>
  <c r="AX164" i="19"/>
  <c r="AX165" i="19" s="1"/>
  <c r="AX166" i="19" s="1"/>
  <c r="AX167" i="19" s="1"/>
  <c r="AX168" i="19" s="1"/>
  <c r="AL163" i="19"/>
  <c r="AL164" i="19" s="1"/>
  <c r="AL165" i="19" s="1"/>
  <c r="AL166" i="19" s="1"/>
  <c r="AL167" i="19" s="1"/>
  <c r="AL168" i="19" s="1"/>
  <c r="AO163" i="19"/>
  <c r="AO164" i="19" s="1"/>
  <c r="AO165" i="19" s="1"/>
  <c r="AO166" i="19" s="1"/>
  <c r="AO167" i="19" s="1"/>
  <c r="AO168" i="19" s="1"/>
  <c r="AO169" i="19" s="1"/>
  <c r="AO170" i="19" s="1"/>
  <c r="AG164" i="19"/>
  <c r="AG165" i="19" s="1"/>
  <c r="AG166" i="19" s="1"/>
  <c r="AG167" i="19" s="1"/>
  <c r="AG168" i="19" s="1"/>
  <c r="AG169" i="19" s="1"/>
  <c r="AF162" i="19"/>
  <c r="AF163" i="19" s="1"/>
  <c r="AF164" i="19" s="1"/>
  <c r="AF165" i="19" s="1"/>
  <c r="AF166" i="19" s="1"/>
  <c r="AF167" i="19" s="1"/>
  <c r="AF168" i="19" s="1"/>
  <c r="AF169" i="19" s="1"/>
  <c r="AF170" i="19" s="1"/>
  <c r="AI164" i="19"/>
  <c r="AI165" i="19" s="1"/>
  <c r="AI166" i="19" s="1"/>
  <c r="AI167" i="19" s="1"/>
  <c r="AI168" i="19" s="1"/>
  <c r="AI169" i="19" s="1"/>
  <c r="AJ165" i="19"/>
  <c r="AJ166" i="19" s="1"/>
  <c r="AJ167" i="19" s="1"/>
  <c r="AJ168" i="19" s="1"/>
  <c r="AJ169" i="19" s="1"/>
  <c r="AJ170" i="19" s="1"/>
  <c r="AY159" i="19"/>
  <c r="AT160" i="19"/>
  <c r="AT161" i="19" s="1"/>
  <c r="AT162" i="19" s="1"/>
  <c r="AT163" i="19" s="1"/>
  <c r="AT164" i="19" s="1"/>
  <c r="AT165" i="19" s="1"/>
  <c r="AT166" i="19" s="1"/>
  <c r="AT167" i="19" s="1"/>
  <c r="AT168" i="19" s="1"/>
  <c r="AV163" i="19"/>
  <c r="AV164" i="19" s="1"/>
  <c r="AV165" i="19" s="1"/>
  <c r="AV166" i="19" s="1"/>
  <c r="AV167" i="19" s="1"/>
  <c r="AU163" i="19"/>
  <c r="AU164" i="19" s="1"/>
  <c r="AU165" i="19" s="1"/>
  <c r="AU166" i="19" s="1"/>
  <c r="AU167" i="19" s="1"/>
  <c r="AU168" i="19" s="1"/>
  <c r="AW158" i="19"/>
  <c r="AW159" i="19" s="1"/>
  <c r="AW160" i="19" s="1"/>
  <c r="AW161" i="19" s="1"/>
  <c r="AW162" i="19" s="1"/>
  <c r="AW163" i="19" s="1"/>
  <c r="AW164" i="19" s="1"/>
  <c r="AW165" i="19" s="1"/>
  <c r="AW166" i="19" s="1"/>
  <c r="AW167" i="19" s="1"/>
  <c r="AW168" i="19" s="1"/>
  <c r="AW169" i="19" s="1"/>
  <c r="AW170" i="19" s="1"/>
  <c r="AQ163" i="19"/>
  <c r="AQ164" i="19" s="1"/>
  <c r="AQ165" i="19" s="1"/>
  <c r="AQ166" i="19" s="1"/>
  <c r="AQ167" i="19" s="1"/>
  <c r="AQ168" i="19" s="1"/>
  <c r="AR164" i="19"/>
  <c r="AK167" i="19"/>
  <c r="AK168" i="19" s="1"/>
  <c r="AK169" i="19" s="1"/>
  <c r="AK170" i="19" s="1"/>
  <c r="AS159" i="19"/>
  <c r="AS160" i="19" s="1"/>
  <c r="AS161" i="19" s="1"/>
  <c r="AS162" i="19" s="1"/>
  <c r="AS163" i="19" s="1"/>
  <c r="AS164" i="19" s="1"/>
  <c r="AS165" i="19" s="1"/>
  <c r="AS166" i="19" s="1"/>
  <c r="AS167" i="19" s="1"/>
  <c r="AS168" i="19" s="1"/>
  <c r="AS169" i="19" s="1"/>
  <c r="AS170" i="19" s="1"/>
  <c r="AS171" i="19" s="1"/>
  <c r="AH154" i="19"/>
  <c r="AH155" i="19" s="1"/>
  <c r="AH156" i="19" s="1"/>
  <c r="AH157" i="19" s="1"/>
  <c r="AH158" i="19" s="1"/>
  <c r="AH159" i="19" s="1"/>
  <c r="AH160" i="19" s="1"/>
  <c r="AH161" i="19" s="1"/>
  <c r="AH162" i="19" s="1"/>
  <c r="AH163" i="19" s="1"/>
  <c r="AH164" i="19" s="1"/>
  <c r="AH165" i="19" s="1"/>
  <c r="AH166" i="19" s="1"/>
  <c r="AH167" i="19" s="1"/>
  <c r="AH168" i="19" s="1"/>
  <c r="AH169" i="19" s="1"/>
  <c r="F3" i="29"/>
  <c r="V3" i="29"/>
  <c r="AL3" i="29"/>
  <c r="P3" i="29"/>
  <c r="AF3" i="29"/>
  <c r="H3" i="33"/>
  <c r="X3" i="33"/>
  <c r="AN3" i="33"/>
  <c r="J3" i="29"/>
  <c r="R3" i="29"/>
  <c r="Z3" i="29"/>
  <c r="AH3" i="29"/>
  <c r="AP3" i="29"/>
  <c r="N3" i="29"/>
  <c r="AD3" i="29"/>
  <c r="L3" i="29"/>
  <c r="T3" i="29"/>
  <c r="AB3" i="29"/>
  <c r="AJ3" i="29"/>
  <c r="AR3" i="29"/>
  <c r="H34" i="35"/>
  <c r="F19" i="21" s="1"/>
  <c r="I34" i="35"/>
  <c r="G19" i="21" s="1"/>
  <c r="J34" i="35"/>
  <c r="H19" i="21" s="1"/>
  <c r="K34" i="35"/>
  <c r="I19" i="21" s="1"/>
  <c r="L34" i="35"/>
  <c r="J19" i="21" s="1"/>
  <c r="M34" i="35"/>
  <c r="K19" i="21" s="1"/>
  <c r="N34" i="35"/>
  <c r="L19" i="21" s="1"/>
  <c r="O34" i="35"/>
  <c r="M19" i="21" s="1"/>
  <c r="P34" i="35"/>
  <c r="N19" i="21" s="1"/>
  <c r="Q34" i="35"/>
  <c r="O19" i="21" s="1"/>
  <c r="R34" i="35"/>
  <c r="P19" i="21" s="1"/>
  <c r="S34" i="35"/>
  <c r="Q19" i="21" s="1"/>
  <c r="T34" i="35"/>
  <c r="R19" i="21" s="1"/>
  <c r="U34" i="35"/>
  <c r="S19" i="21" s="1"/>
  <c r="V34" i="35"/>
  <c r="T19" i="21" s="1"/>
  <c r="W34" i="35"/>
  <c r="U19" i="21" s="1"/>
  <c r="X34" i="35"/>
  <c r="V19" i="21" s="1"/>
  <c r="Y34" i="35"/>
  <c r="W19" i="21" s="1"/>
  <c r="Z34" i="35"/>
  <c r="X19" i="21" s="1"/>
  <c r="G34" i="35"/>
  <c r="AP171" i="19" l="1"/>
  <c r="AP172" i="19" s="1"/>
  <c r="AP173" i="19" s="1"/>
  <c r="AP174" i="19" s="1"/>
  <c r="AP175" i="19" s="1"/>
  <c r="AP176" i="19" s="1"/>
  <c r="AP177" i="19" s="1"/>
  <c r="AP178" i="19" s="1"/>
  <c r="AV168" i="19"/>
  <c r="AV169" i="19" s="1"/>
  <c r="AJ171" i="19"/>
  <c r="AJ172" i="19" s="1"/>
  <c r="AJ173" i="19" s="1"/>
  <c r="AJ174" i="19" s="1"/>
  <c r="AJ175" i="19" s="1"/>
  <c r="AJ176" i="19" s="1"/>
  <c r="AT169" i="19"/>
  <c r="AT170" i="19" s="1"/>
  <c r="AT171" i="19" s="1"/>
  <c r="AT172" i="19" s="1"/>
  <c r="AT173" i="19" s="1"/>
  <c r="AT174" i="19" s="1"/>
  <c r="AT175" i="19" s="1"/>
  <c r="AT176" i="19" s="1"/>
  <c r="AT177" i="19" s="1"/>
  <c r="AT178" i="19" s="1"/>
  <c r="AS172" i="19"/>
  <c r="AS173" i="19" s="1"/>
  <c r="AS174" i="19" s="1"/>
  <c r="AS175" i="19" s="1"/>
  <c r="AN171" i="19"/>
  <c r="AN172" i="19" s="1"/>
  <c r="AN173" i="19" s="1"/>
  <c r="AN174" i="19" s="1"/>
  <c r="AN175" i="19" s="1"/>
  <c r="AN176" i="19" s="1"/>
  <c r="AN177" i="19" s="1"/>
  <c r="AN178" i="19" s="1"/>
  <c r="AO171" i="19"/>
  <c r="AO172" i="19" s="1"/>
  <c r="AO173" i="19" s="1"/>
  <c r="AO174" i="19" s="1"/>
  <c r="AO175" i="19" s="1"/>
  <c r="AO176" i="19" s="1"/>
  <c r="AM169" i="19"/>
  <c r="AM170" i="19" s="1"/>
  <c r="AM171" i="19" s="1"/>
  <c r="AM172" i="19" s="1"/>
  <c r="AM173" i="19" s="1"/>
  <c r="AM174" i="19" s="1"/>
  <c r="AL169" i="19"/>
  <c r="AL170" i="19" s="1"/>
  <c r="AL171" i="19" s="1"/>
  <c r="AL172" i="19" s="1"/>
  <c r="AL173" i="19" s="1"/>
  <c r="AL174" i="19" s="1"/>
  <c r="AK171" i="19"/>
  <c r="AK172" i="19" s="1"/>
  <c r="AK173" i="19" s="1"/>
  <c r="AK174" i="19" s="1"/>
  <c r="AK175" i="19" s="1"/>
  <c r="AK176" i="19" s="1"/>
  <c r="AK177" i="19" s="1"/>
  <c r="AF171" i="19"/>
  <c r="AF172" i="19" s="1"/>
  <c r="AF173" i="19" s="1"/>
  <c r="AF174" i="19" s="1"/>
  <c r="AF175" i="19" s="1"/>
  <c r="AF176" i="19" s="1"/>
  <c r="AG170" i="19"/>
  <c r="AH170" i="19"/>
  <c r="AW171" i="19"/>
  <c r="AW172" i="19" s="1"/>
  <c r="AY160" i="19"/>
  <c r="AY161" i="19" s="1"/>
  <c r="AY162" i="19" s="1"/>
  <c r="AY163" i="19" s="1"/>
  <c r="AY164" i="19" s="1"/>
  <c r="AY165" i="19" s="1"/>
  <c r="AY166" i="19" s="1"/>
  <c r="AY167" i="19" s="1"/>
  <c r="AY168" i="19" s="1"/>
  <c r="AY169" i="19" s="1"/>
  <c r="AY170" i="19" s="1"/>
  <c r="AY171" i="19" s="1"/>
  <c r="AY172" i="19" s="1"/>
  <c r="AY173" i="19" s="1"/>
  <c r="AY174" i="19" s="1"/>
  <c r="AU169" i="19"/>
  <c r="AU170" i="19" s="1"/>
  <c r="AU171" i="19" s="1"/>
  <c r="AU172" i="19" s="1"/>
  <c r="AU173" i="19" s="1"/>
  <c r="AU174" i="19" s="1"/>
  <c r="AU175" i="19" s="1"/>
  <c r="AQ169" i="19"/>
  <c r="AQ170" i="19" s="1"/>
  <c r="AQ171" i="19" s="1"/>
  <c r="AQ172" i="19" s="1"/>
  <c r="AQ173" i="19" s="1"/>
  <c r="AQ174" i="19" s="1"/>
  <c r="AQ175" i="19" s="1"/>
  <c r="AR165" i="19"/>
  <c r="AR166" i="19" s="1"/>
  <c r="AR167" i="19" s="1"/>
  <c r="AR168" i="19" s="1"/>
  <c r="AR169" i="19" s="1"/>
  <c r="AR170" i="19" s="1"/>
  <c r="AR171" i="19" s="1"/>
  <c r="AR172" i="19" s="1"/>
  <c r="AR173" i="19" s="1"/>
  <c r="AR174" i="19" s="1"/>
  <c r="AR175" i="19" s="1"/>
  <c r="AX169" i="19"/>
  <c r="AX170" i="19" s="1"/>
  <c r="AX171" i="19" s="1"/>
  <c r="AX172" i="19" s="1"/>
  <c r="AX173" i="19" s="1"/>
  <c r="AX174" i="19" s="1"/>
  <c r="AX175" i="19" s="1"/>
  <c r="AI170" i="19"/>
  <c r="F67" i="29"/>
  <c r="AC89" i="28"/>
  <c r="AC88" i="28"/>
  <c r="AG89" i="28"/>
  <c r="AE89" i="28"/>
  <c r="AG88" i="28"/>
  <c r="AE88" i="28"/>
  <c r="AC81" i="28"/>
  <c r="AC80" i="28"/>
  <c r="AG81" i="28"/>
  <c r="AE81" i="28"/>
  <c r="AG80" i="28"/>
  <c r="AE80" i="28"/>
  <c r="AC75" i="28"/>
  <c r="AC74" i="28"/>
  <c r="AC72" i="28"/>
  <c r="AC71" i="28"/>
  <c r="AC69" i="28"/>
  <c r="AC68" i="28"/>
  <c r="AG75" i="28"/>
  <c r="AE75" i="28"/>
  <c r="AG74" i="28"/>
  <c r="AE74" i="28"/>
  <c r="AG72" i="28"/>
  <c r="AE72" i="28"/>
  <c r="AG69" i="28"/>
  <c r="AH69" i="28" s="1"/>
  <c r="AE69" i="28"/>
  <c r="AG71" i="28"/>
  <c r="AE71" i="28"/>
  <c r="AG68" i="28"/>
  <c r="AE68" i="28"/>
  <c r="AC66" i="28"/>
  <c r="AC65" i="28"/>
  <c r="AG66" i="28"/>
  <c r="AE66" i="28"/>
  <c r="AF66" i="28" s="1"/>
  <c r="AG65" i="28"/>
  <c r="AE65" i="28"/>
  <c r="AC63" i="28"/>
  <c r="AC62" i="28"/>
  <c r="AG63" i="28"/>
  <c r="AE63" i="28"/>
  <c r="AG62" i="28"/>
  <c r="AE62" i="28"/>
  <c r="AC56" i="28"/>
  <c r="AC55" i="28"/>
  <c r="AG56" i="28"/>
  <c r="AE56" i="28"/>
  <c r="AG55" i="28"/>
  <c r="AE55" i="28"/>
  <c r="AF55" i="28" s="1"/>
  <c r="AC53" i="28"/>
  <c r="AC52" i="28"/>
  <c r="AG53" i="28"/>
  <c r="AE53" i="28"/>
  <c r="AG52" i="28"/>
  <c r="AE52" i="28"/>
  <c r="AC50" i="28"/>
  <c r="AC49" i="28"/>
  <c r="AG50" i="28"/>
  <c r="AH50" i="28" s="1"/>
  <c r="AE50" i="28"/>
  <c r="AF50" i="28" s="1"/>
  <c r="AG49" i="28"/>
  <c r="AE49" i="28"/>
  <c r="AC47" i="28"/>
  <c r="AC46" i="28"/>
  <c r="AG47" i="28"/>
  <c r="AE47" i="28"/>
  <c r="AG46" i="28"/>
  <c r="AE46" i="28"/>
  <c r="AC34" i="28"/>
  <c r="AC33" i="28"/>
  <c r="AG34" i="28"/>
  <c r="AE34" i="28"/>
  <c r="AG33" i="28"/>
  <c r="AE33" i="28"/>
  <c r="AF33" i="28" s="1"/>
  <c r="AC29" i="28"/>
  <c r="AC28" i="28"/>
  <c r="AG29" i="28"/>
  <c r="AE29" i="28"/>
  <c r="AG28" i="28"/>
  <c r="AE28" i="28"/>
  <c r="AC26" i="28"/>
  <c r="AC25" i="28"/>
  <c r="AC23" i="28"/>
  <c r="AC22" i="28"/>
  <c r="AE22" i="28"/>
  <c r="AG22" i="28"/>
  <c r="AE23" i="28"/>
  <c r="AG23" i="28"/>
  <c r="AG26" i="28"/>
  <c r="AH26" i="28" s="1"/>
  <c r="AE26" i="28"/>
  <c r="AG25" i="28"/>
  <c r="AE25" i="28"/>
  <c r="AC20" i="28"/>
  <c r="AC19" i="28"/>
  <c r="AE18" i="28"/>
  <c r="AF18" i="28" s="1"/>
  <c r="AG18" i="28"/>
  <c r="AH18" i="28" s="1"/>
  <c r="AE19" i="28"/>
  <c r="AG19" i="28"/>
  <c r="AH19" i="28" s="1"/>
  <c r="AG16" i="28"/>
  <c r="AE16" i="28"/>
  <c r="AF16" i="28" s="1"/>
  <c r="AG15" i="28"/>
  <c r="AE15" i="28"/>
  <c r="AC16" i="28"/>
  <c r="AC15" i="28"/>
  <c r="AC9" i="28"/>
  <c r="AC8" i="28"/>
  <c r="AG9" i="28"/>
  <c r="AE9" i="28"/>
  <c r="AG8" i="28"/>
  <c r="AE8" i="28"/>
  <c r="AH63" i="28" l="1"/>
  <c r="AF34" i="28"/>
  <c r="AH34" i="28"/>
  <c r="AF26" i="28"/>
  <c r="AF63" i="28"/>
  <c r="AF8" i="28"/>
  <c r="AH80" i="28"/>
  <c r="AH89" i="28"/>
  <c r="AF56" i="28"/>
  <c r="AF68" i="28"/>
  <c r="AF23" i="28"/>
  <c r="AH56" i="28"/>
  <c r="AH68" i="28"/>
  <c r="AF15" i="28"/>
  <c r="AH22" i="28"/>
  <c r="AF29" i="28"/>
  <c r="AF49" i="28"/>
  <c r="AF65" i="28"/>
  <c r="AF71" i="28"/>
  <c r="AF80" i="28"/>
  <c r="AF74" i="28"/>
  <c r="AH74" i="28"/>
  <c r="AF75" i="28"/>
  <c r="AH75" i="28"/>
  <c r="AH72" i="28"/>
  <c r="AF28" i="28"/>
  <c r="AF46" i="28"/>
  <c r="AF52" i="28"/>
  <c r="AF62" i="28"/>
  <c r="AF88" i="28"/>
  <c r="AH46" i="28"/>
  <c r="AH52" i="28"/>
  <c r="AH62" i="28"/>
  <c r="AH88" i="28"/>
  <c r="AF72" i="28"/>
  <c r="AF89" i="28"/>
  <c r="AJ177" i="19"/>
  <c r="AJ178" i="19" s="1"/>
  <c r="AJ179" i="19" s="1"/>
  <c r="AJ180" i="19" s="1"/>
  <c r="AJ181" i="19" s="1"/>
  <c r="AJ182" i="19" s="1"/>
  <c r="AM175" i="19"/>
  <c r="AM176" i="19" s="1"/>
  <c r="AM177" i="19" s="1"/>
  <c r="AM178" i="19" s="1"/>
  <c r="AM179" i="19" s="1"/>
  <c r="AM180" i="19" s="1"/>
  <c r="AN179" i="19"/>
  <c r="AN180" i="19" s="1"/>
  <c r="AN181" i="19" s="1"/>
  <c r="AN182" i="19" s="1"/>
  <c r="AN183" i="19" s="1"/>
  <c r="AN184" i="19" s="1"/>
  <c r="AF177" i="19"/>
  <c r="AF178" i="19" s="1"/>
  <c r="AF179" i="19" s="1"/>
  <c r="AF180" i="19" s="1"/>
  <c r="AF181" i="19" s="1"/>
  <c r="AF182" i="19" s="1"/>
  <c r="AF183" i="19" s="1"/>
  <c r="AF184" i="19" s="1"/>
  <c r="AP179" i="19"/>
  <c r="AP180" i="19" s="1"/>
  <c r="AP181" i="19" s="1"/>
  <c r="AP182" i="19" s="1"/>
  <c r="AP183" i="19" s="1"/>
  <c r="AP184" i="19" s="1"/>
  <c r="AP185" i="19" s="1"/>
  <c r="AP186" i="19" s="1"/>
  <c r="AO177" i="19"/>
  <c r="AO178" i="19" s="1"/>
  <c r="AO179" i="19" s="1"/>
  <c r="AO180" i="19" s="1"/>
  <c r="AO181" i="19" s="1"/>
  <c r="AO182" i="19" s="1"/>
  <c r="AO183" i="19" s="1"/>
  <c r="AO184" i="19" s="1"/>
  <c r="AY175" i="19"/>
  <c r="AY176" i="19" s="1"/>
  <c r="AY177" i="19" s="1"/>
  <c r="AY178" i="19" s="1"/>
  <c r="AY179" i="19" s="1"/>
  <c r="AY180" i="19" s="1"/>
  <c r="AY181" i="19" s="1"/>
  <c r="AY182" i="19" s="1"/>
  <c r="AL175" i="19"/>
  <c r="AL176" i="19" s="1"/>
  <c r="AL177" i="19" s="1"/>
  <c r="AL178" i="19" s="1"/>
  <c r="AL179" i="19" s="1"/>
  <c r="AL180" i="19" s="1"/>
  <c r="AK178" i="19"/>
  <c r="AK179" i="19" s="1"/>
  <c r="AK180" i="19" s="1"/>
  <c r="AX176" i="19"/>
  <c r="AX177" i="19" s="1"/>
  <c r="AX178" i="19" s="1"/>
  <c r="AX179" i="19" s="1"/>
  <c r="AX180" i="19" s="1"/>
  <c r="AX181" i="19" s="1"/>
  <c r="AX182" i="19" s="1"/>
  <c r="AT179" i="19"/>
  <c r="AT180" i="19" s="1"/>
  <c r="AT181" i="19" s="1"/>
  <c r="AT182" i="19" s="1"/>
  <c r="AT183" i="19" s="1"/>
  <c r="AT184" i="19" s="1"/>
  <c r="AG171" i="19"/>
  <c r="AG172" i="19" s="1"/>
  <c r="AG173" i="19" s="1"/>
  <c r="AG174" i="19" s="1"/>
  <c r="AG175" i="19" s="1"/>
  <c r="AG176" i="19" s="1"/>
  <c r="AG177" i="19" s="1"/>
  <c r="AG178" i="19" s="1"/>
  <c r="AG179" i="19" s="1"/>
  <c r="AG180" i="19" s="1"/>
  <c r="AG181" i="19" s="1"/>
  <c r="AH171" i="19"/>
  <c r="AH172" i="19" s="1"/>
  <c r="AH173" i="19" s="1"/>
  <c r="AH174" i="19" s="1"/>
  <c r="AH175" i="19" s="1"/>
  <c r="AH176" i="19" s="1"/>
  <c r="AH177" i="19" s="1"/>
  <c r="AH178" i="19" s="1"/>
  <c r="AH179" i="19" s="1"/>
  <c r="AH180" i="19" s="1"/>
  <c r="AH181" i="19" s="1"/>
  <c r="AH182" i="19" s="1"/>
  <c r="AR176" i="19"/>
  <c r="AR177" i="19" s="1"/>
  <c r="AR178" i="19" s="1"/>
  <c r="AR179" i="19" s="1"/>
  <c r="AR180" i="19" s="1"/>
  <c r="AR181" i="19" s="1"/>
  <c r="AR182" i="19" s="1"/>
  <c r="AS176" i="19"/>
  <c r="AS177" i="19" s="1"/>
  <c r="AS178" i="19" s="1"/>
  <c r="AS179" i="19" s="1"/>
  <c r="AS180" i="19" s="1"/>
  <c r="AS181" i="19" s="1"/>
  <c r="AS182" i="19" s="1"/>
  <c r="AS183" i="19" s="1"/>
  <c r="AS184" i="19" s="1"/>
  <c r="AS185" i="19" s="1"/>
  <c r="AS186" i="19" s="1"/>
  <c r="AS187" i="19" s="1"/>
  <c r="AS188" i="19" s="1"/>
  <c r="AI171" i="19"/>
  <c r="AI172" i="19" s="1"/>
  <c r="AI173" i="19" s="1"/>
  <c r="AI174" i="19" s="1"/>
  <c r="AI175" i="19" s="1"/>
  <c r="AI176" i="19" s="1"/>
  <c r="AI177" i="19" s="1"/>
  <c r="AI178" i="19" s="1"/>
  <c r="AI179" i="19" s="1"/>
  <c r="AI180" i="19" s="1"/>
  <c r="AI181" i="19" s="1"/>
  <c r="AI182" i="19" s="1"/>
  <c r="AV170" i="19"/>
  <c r="AV171" i="19" s="1"/>
  <c r="AV172" i="19" s="1"/>
  <c r="AV173" i="19" s="1"/>
  <c r="AV174" i="19" s="1"/>
  <c r="AV175" i="19" s="1"/>
  <c r="AV176" i="19" s="1"/>
  <c r="AV177" i="19" s="1"/>
  <c r="AV178" i="19" s="1"/>
  <c r="AV179" i="19" s="1"/>
  <c r="AV180" i="19" s="1"/>
  <c r="AW173" i="19"/>
  <c r="AW174" i="19" s="1"/>
  <c r="AW175" i="19" s="1"/>
  <c r="AW176" i="19" s="1"/>
  <c r="AW177" i="19" s="1"/>
  <c r="AW178" i="19" s="1"/>
  <c r="AW179" i="19" s="1"/>
  <c r="AW180" i="19" s="1"/>
  <c r="AW181" i="19" s="1"/>
  <c r="AQ176" i="19"/>
  <c r="AQ177" i="19" s="1"/>
  <c r="AQ178" i="19" s="1"/>
  <c r="AQ179" i="19" s="1"/>
  <c r="AQ180" i="19" s="1"/>
  <c r="AQ181" i="19" s="1"/>
  <c r="AU176" i="19"/>
  <c r="AU177" i="19" s="1"/>
  <c r="AU178" i="19" s="1"/>
  <c r="AU179" i="19" s="1"/>
  <c r="AU180" i="19" s="1"/>
  <c r="AU181" i="19" s="1"/>
  <c r="AU182" i="19" s="1"/>
  <c r="AH81" i="28"/>
  <c r="AF81" i="28"/>
  <c r="AH15" i="28"/>
  <c r="AF19" i="28"/>
  <c r="AF22" i="28"/>
  <c r="AH29" i="28"/>
  <c r="AH33" i="28"/>
  <c r="AH49" i="28"/>
  <c r="AH55" i="28"/>
  <c r="AH65" i="28"/>
  <c r="AF25" i="28"/>
  <c r="AH16" i="28"/>
  <c r="AH25" i="28"/>
  <c r="AH28" i="28"/>
  <c r="AH71" i="28"/>
  <c r="AF69" i="28"/>
  <c r="AH66" i="28"/>
  <c r="AF53" i="28"/>
  <c r="AH53" i="28"/>
  <c r="AF47" i="28"/>
  <c r="AH47" i="28"/>
  <c r="AH23" i="28"/>
  <c r="AF9" i="28"/>
  <c r="AH9" i="28"/>
  <c r="AH8" i="28"/>
  <c r="AJ183" i="19" l="1"/>
  <c r="AJ184" i="19" s="1"/>
  <c r="AJ185" i="19" s="1"/>
  <c r="AJ186" i="19" s="1"/>
  <c r="AJ187" i="19" s="1"/>
  <c r="AJ188" i="19" s="1"/>
  <c r="AJ189" i="19" s="1"/>
  <c r="AX183" i="19"/>
  <c r="AX184" i="19" s="1"/>
  <c r="AX185" i="19" s="1"/>
  <c r="AX186" i="19" s="1"/>
  <c r="AX187" i="19" s="1"/>
  <c r="AX188" i="19" s="1"/>
  <c r="AX189" i="19" s="1"/>
  <c r="AC43" i="19" s="1"/>
  <c r="AM181" i="19"/>
  <c r="AM182" i="19" s="1"/>
  <c r="AM183" i="19" s="1"/>
  <c r="AM184" i="19" s="1"/>
  <c r="AM185" i="19" s="1"/>
  <c r="AM186" i="19" s="1"/>
  <c r="AO185" i="19"/>
  <c r="AO186" i="19" s="1"/>
  <c r="AO187" i="19" s="1"/>
  <c r="AO188" i="19" s="1"/>
  <c r="AO189" i="19" s="1"/>
  <c r="AS189" i="19"/>
  <c r="X43" i="19" s="1"/>
  <c r="AN185" i="19"/>
  <c r="AN186" i="19" s="1"/>
  <c r="AN187" i="19" s="1"/>
  <c r="AN188" i="19" s="1"/>
  <c r="AN189" i="19" s="1"/>
  <c r="AL181" i="19"/>
  <c r="AL182" i="19" s="1"/>
  <c r="AL183" i="19" s="1"/>
  <c r="AL184" i="19" s="1"/>
  <c r="AL185" i="19" s="1"/>
  <c r="AL186" i="19" s="1"/>
  <c r="AF185" i="19"/>
  <c r="AF186" i="19" s="1"/>
  <c r="AF187" i="19" s="1"/>
  <c r="AF188" i="19" s="1"/>
  <c r="AF189" i="19" s="1"/>
  <c r="K43" i="19" s="1"/>
  <c r="AW182" i="19"/>
  <c r="AW183" i="19" s="1"/>
  <c r="AW184" i="19" s="1"/>
  <c r="AW185" i="19" s="1"/>
  <c r="AW186" i="19" s="1"/>
  <c r="AW187" i="19" s="1"/>
  <c r="AW188" i="19" s="1"/>
  <c r="AP187" i="19"/>
  <c r="AP188" i="19" s="1"/>
  <c r="AP189" i="19" s="1"/>
  <c r="AY183" i="19"/>
  <c r="AY184" i="19" s="1"/>
  <c r="AY185" i="19" s="1"/>
  <c r="AY186" i="19" s="1"/>
  <c r="AQ182" i="19"/>
  <c r="AQ183" i="19" s="1"/>
  <c r="AQ184" i="19" s="1"/>
  <c r="AQ185" i="19" s="1"/>
  <c r="AQ186" i="19" s="1"/>
  <c r="AQ187" i="19" s="1"/>
  <c r="AT185" i="19"/>
  <c r="AT186" i="19" s="1"/>
  <c r="AT187" i="19" s="1"/>
  <c r="AT188" i="19" s="1"/>
  <c r="AT189" i="19" s="1"/>
  <c r="AG182" i="19"/>
  <c r="AG183" i="19" s="1"/>
  <c r="AG184" i="19" s="1"/>
  <c r="AG185" i="19" s="1"/>
  <c r="AG186" i="19" s="1"/>
  <c r="AG187" i="19" s="1"/>
  <c r="AR183" i="19"/>
  <c r="AR184" i="19" s="1"/>
  <c r="AR185" i="19" s="1"/>
  <c r="AR186" i="19" s="1"/>
  <c r="AR187" i="19" s="1"/>
  <c r="AR188" i="19" s="1"/>
  <c r="AU183" i="19"/>
  <c r="AU184" i="19" s="1"/>
  <c r="AU185" i="19" s="1"/>
  <c r="AU186" i="19" s="1"/>
  <c r="AU187" i="19" s="1"/>
  <c r="AU188" i="19" s="1"/>
  <c r="AU189" i="19" s="1"/>
  <c r="AV181" i="19"/>
  <c r="AV182" i="19" s="1"/>
  <c r="AV183" i="19" s="1"/>
  <c r="AV184" i="19" s="1"/>
  <c r="AV185" i="19" s="1"/>
  <c r="AV186" i="19" s="1"/>
  <c r="AV187" i="19" s="1"/>
  <c r="AI183" i="19"/>
  <c r="AI184" i="19" s="1"/>
  <c r="AI185" i="19" s="1"/>
  <c r="AI186" i="19" s="1"/>
  <c r="AI187" i="19" s="1"/>
  <c r="AI188" i="19" s="1"/>
  <c r="AK181" i="19"/>
  <c r="AK182" i="19" s="1"/>
  <c r="AK183" i="19" s="1"/>
  <c r="AK184" i="19" s="1"/>
  <c r="AK185" i="19" s="1"/>
  <c r="AK186" i="19" s="1"/>
  <c r="AK187" i="19" s="1"/>
  <c r="AK188" i="19" s="1"/>
  <c r="AK189" i="19" s="1"/>
  <c r="AH183" i="19"/>
  <c r="AH184" i="19" s="1"/>
  <c r="AH185" i="19" s="1"/>
  <c r="AH186" i="19" s="1"/>
  <c r="AH187" i="19" s="1"/>
  <c r="AH188" i="19" s="1"/>
  <c r="AR189" i="19" l="1"/>
  <c r="AM187" i="19"/>
  <c r="AM188" i="19" s="1"/>
  <c r="AM189" i="19" s="1"/>
  <c r="AL187" i="19"/>
  <c r="AL188" i="19" s="1"/>
  <c r="AL189" i="19" s="1"/>
  <c r="Q43" i="19" s="1"/>
  <c r="AY187" i="19"/>
  <c r="AY188" i="19" s="1"/>
  <c r="AY189" i="19" s="1"/>
  <c r="AW189" i="19"/>
  <c r="AG188" i="19"/>
  <c r="AG189" i="19" s="1"/>
  <c r="AH189" i="19"/>
  <c r="AQ188" i="19"/>
  <c r="AQ189" i="19" s="1"/>
  <c r="AV188" i="19"/>
  <c r="AV189" i="19" s="1"/>
  <c r="AI189" i="19"/>
  <c r="H9" i="39"/>
  <c r="F24" i="21" s="1"/>
  <c r="I9" i="39"/>
  <c r="G24" i="21" s="1"/>
  <c r="J9" i="39"/>
  <c r="H24" i="21" s="1"/>
  <c r="K9" i="39"/>
  <c r="I24" i="21" s="1"/>
  <c r="L9" i="39"/>
  <c r="J24" i="21" s="1"/>
  <c r="M9" i="39"/>
  <c r="K24" i="21" s="1"/>
  <c r="N9" i="39"/>
  <c r="L24" i="21" s="1"/>
  <c r="O9" i="39"/>
  <c r="M24" i="21" s="1"/>
  <c r="P9" i="39"/>
  <c r="N24" i="21" s="1"/>
  <c r="Q9" i="39"/>
  <c r="O24" i="21" s="1"/>
  <c r="R9" i="39"/>
  <c r="P24" i="21" s="1"/>
  <c r="S9" i="39"/>
  <c r="Q24" i="21" s="1"/>
  <c r="T9" i="39"/>
  <c r="R24" i="21" s="1"/>
  <c r="U9" i="39"/>
  <c r="S24" i="21" s="1"/>
  <c r="V9" i="39"/>
  <c r="T24" i="21" s="1"/>
  <c r="W9" i="39"/>
  <c r="U24" i="21" s="1"/>
  <c r="X9" i="39"/>
  <c r="V24" i="21" s="1"/>
  <c r="Y9" i="39"/>
  <c r="W24" i="21" s="1"/>
  <c r="Z9" i="39"/>
  <c r="X24" i="21" s="1"/>
  <c r="G9" i="39"/>
  <c r="M43" i="19" l="1"/>
  <c r="L43" i="19"/>
  <c r="T43" i="19"/>
  <c r="U43" i="19"/>
  <c r="O43" i="19"/>
  <c r="S43" i="19"/>
  <c r="Z43" i="19"/>
  <c r="R43" i="19"/>
  <c r="Y43" i="19"/>
  <c r="N43" i="19"/>
  <c r="V43" i="19"/>
  <c r="AA43" i="19"/>
  <c r="AB43" i="19"/>
  <c r="AD43" i="19"/>
  <c r="P43" i="19"/>
  <c r="D49" i="13"/>
  <c r="AE8" i="39"/>
  <c r="AF8" i="39" s="1"/>
  <c r="AE7" i="39"/>
  <c r="AF7" i="39" s="1"/>
  <c r="AC8" i="39"/>
  <c r="AD8" i="39" s="1"/>
  <c r="AC7" i="39"/>
  <c r="AD7" i="39" s="1"/>
  <c r="E24" i="21"/>
  <c r="X23" i="38"/>
  <c r="X23" i="21" s="1"/>
  <c r="W23" i="38"/>
  <c r="W23" i="21" s="1"/>
  <c r="V23" i="38"/>
  <c r="V23" i="21" s="1"/>
  <c r="U23" i="38"/>
  <c r="U23" i="21" s="1"/>
  <c r="T23" i="38"/>
  <c r="T23" i="21" s="1"/>
  <c r="S23" i="38"/>
  <c r="S23" i="21" s="1"/>
  <c r="R23" i="38"/>
  <c r="R23" i="21" s="1"/>
  <c r="Q23" i="38"/>
  <c r="Q23" i="21" s="1"/>
  <c r="P23" i="38"/>
  <c r="P23" i="21" s="1"/>
  <c r="O23" i="38"/>
  <c r="O23" i="21" s="1"/>
  <c r="N23" i="38"/>
  <c r="N23" i="21" s="1"/>
  <c r="M23" i="38"/>
  <c r="M23" i="21" s="1"/>
  <c r="L23" i="38"/>
  <c r="L23" i="21" s="1"/>
  <c r="K23" i="38"/>
  <c r="K23" i="21" s="1"/>
  <c r="J23" i="38"/>
  <c r="J23" i="21" s="1"/>
  <c r="I23" i="38"/>
  <c r="I23" i="21" s="1"/>
  <c r="H23" i="38"/>
  <c r="H23" i="21" s="1"/>
  <c r="G23" i="38"/>
  <c r="G23" i="21" s="1"/>
  <c r="F23" i="38"/>
  <c r="F23" i="21" s="1"/>
  <c r="E23" i="38"/>
  <c r="E23" i="21" s="1"/>
  <c r="AC22" i="38"/>
  <c r="AD22" i="38" s="1"/>
  <c r="AC21" i="38"/>
  <c r="AD21" i="38" s="1"/>
  <c r="AC20" i="38"/>
  <c r="AD20" i="38" s="1"/>
  <c r="AC19" i="38"/>
  <c r="AD19" i="38" s="1"/>
  <c r="AA22" i="38"/>
  <c r="AB22" i="38" s="1"/>
  <c r="AA21" i="38"/>
  <c r="AB21" i="38" s="1"/>
  <c r="AA20" i="38"/>
  <c r="AB20" i="38" s="1"/>
  <c r="AA19" i="38"/>
  <c r="AB19" i="38" s="1"/>
  <c r="AC7" i="38"/>
  <c r="AD7" i="38" s="1"/>
  <c r="AA7" i="38"/>
  <c r="AB7" i="38" s="1"/>
  <c r="AC18" i="37"/>
  <c r="AD18" i="37" s="1"/>
  <c r="AC11" i="37"/>
  <c r="AD11" i="37" s="1"/>
  <c r="AC7" i="37"/>
  <c r="AA18" i="37"/>
  <c r="AB18" i="37" s="1"/>
  <c r="AA11" i="37"/>
  <c r="AB11" i="37" s="1"/>
  <c r="AA7" i="37"/>
  <c r="AB7" i="37" s="1"/>
  <c r="X19" i="37"/>
  <c r="X22" i="21" s="1"/>
  <c r="W19" i="37"/>
  <c r="W22" i="21" s="1"/>
  <c r="V19" i="37"/>
  <c r="V22" i="21" s="1"/>
  <c r="U19" i="37"/>
  <c r="U22" i="21" s="1"/>
  <c r="T19" i="37"/>
  <c r="T22" i="21" s="1"/>
  <c r="S19" i="37"/>
  <c r="S22" i="21" s="1"/>
  <c r="R19" i="37"/>
  <c r="R22" i="21" s="1"/>
  <c r="Q19" i="37"/>
  <c r="Q22" i="21" s="1"/>
  <c r="P19" i="37"/>
  <c r="P22" i="21" s="1"/>
  <c r="O19" i="37"/>
  <c r="O22" i="21" s="1"/>
  <c r="N19" i="37"/>
  <c r="N22" i="21" s="1"/>
  <c r="M19" i="37"/>
  <c r="M22" i="21" s="1"/>
  <c r="L19" i="37"/>
  <c r="L22" i="21" s="1"/>
  <c r="K19" i="37"/>
  <c r="K22" i="21" s="1"/>
  <c r="J19" i="37"/>
  <c r="J22" i="21" s="1"/>
  <c r="I19" i="37"/>
  <c r="I22" i="21" s="1"/>
  <c r="H19" i="37"/>
  <c r="H22" i="21" s="1"/>
  <c r="G19" i="37"/>
  <c r="G22" i="21" s="1"/>
  <c r="F19" i="37"/>
  <c r="F22" i="21" s="1"/>
  <c r="E19" i="37"/>
  <c r="E22" i="21" s="1"/>
  <c r="AD7" i="37"/>
  <c r="I19" i="36"/>
  <c r="I21" i="21" s="1"/>
  <c r="AC18" i="36"/>
  <c r="AD18" i="36" s="1"/>
  <c r="AC11" i="36"/>
  <c r="AD11" i="36" s="1"/>
  <c r="AC7" i="36"/>
  <c r="AD7" i="36" s="1"/>
  <c r="AA18" i="36"/>
  <c r="AB18" i="36" s="1"/>
  <c r="AA11" i="36"/>
  <c r="AB11" i="36" s="1"/>
  <c r="AA7" i="36"/>
  <c r="AB7" i="36" s="1"/>
  <c r="X19" i="36"/>
  <c r="X21" i="21" s="1"/>
  <c r="W19" i="36"/>
  <c r="W21" i="21" s="1"/>
  <c r="V19" i="36"/>
  <c r="V21" i="21" s="1"/>
  <c r="U19" i="36"/>
  <c r="U21" i="21" s="1"/>
  <c r="T19" i="36"/>
  <c r="T21" i="21" s="1"/>
  <c r="S19" i="36"/>
  <c r="S21" i="21" s="1"/>
  <c r="R19" i="36"/>
  <c r="R21" i="21" s="1"/>
  <c r="Q19" i="36"/>
  <c r="Q21" i="21" s="1"/>
  <c r="P19" i="36"/>
  <c r="P21" i="21" s="1"/>
  <c r="O19" i="36"/>
  <c r="O21" i="21" s="1"/>
  <c r="N19" i="36"/>
  <c r="N21" i="21" s="1"/>
  <c r="M19" i="36"/>
  <c r="M21" i="21" s="1"/>
  <c r="L19" i="36"/>
  <c r="L21" i="21" s="1"/>
  <c r="K19" i="36"/>
  <c r="K21" i="21" s="1"/>
  <c r="J19" i="36"/>
  <c r="J21" i="21" s="1"/>
  <c r="H19" i="36"/>
  <c r="H21" i="21" s="1"/>
  <c r="G19" i="36"/>
  <c r="G21" i="21" s="1"/>
  <c r="F19" i="36"/>
  <c r="F21" i="21" s="1"/>
  <c r="E19" i="36"/>
  <c r="E21" i="21" s="1"/>
  <c r="AE7" i="35"/>
  <c r="AF7" i="35" s="1"/>
  <c r="AE27" i="35"/>
  <c r="AF27" i="35" s="1"/>
  <c r="AC27" i="35"/>
  <c r="AD27" i="35" s="1"/>
  <c r="AE23" i="35"/>
  <c r="AF23" i="35" s="1"/>
  <c r="AC23" i="35"/>
  <c r="AD23" i="35" s="1"/>
  <c r="AE16" i="35"/>
  <c r="AF16" i="35" s="1"/>
  <c r="AC16" i="35"/>
  <c r="AD16" i="35" s="1"/>
  <c r="AE14" i="35"/>
  <c r="AF14" i="35" s="1"/>
  <c r="AC14" i="35"/>
  <c r="AD14" i="35" s="1"/>
  <c r="AC7" i="35"/>
  <c r="AD7" i="35" s="1"/>
  <c r="E19" i="21"/>
  <c r="AD25" i="34"/>
  <c r="AE25" i="34" s="1"/>
  <c r="AD24" i="34"/>
  <c r="AE24" i="34" s="1"/>
  <c r="AD23" i="34"/>
  <c r="AE23" i="34" s="1"/>
  <c r="AD22" i="34"/>
  <c r="AE22" i="34" s="1"/>
  <c r="AD21" i="34"/>
  <c r="AE21" i="34" s="1"/>
  <c r="AD20" i="34"/>
  <c r="AE20" i="34" s="1"/>
  <c r="AD19" i="34"/>
  <c r="AE19" i="34" s="1"/>
  <c r="AD18" i="34"/>
  <c r="AE18" i="34" s="1"/>
  <c r="AD17" i="34"/>
  <c r="AE17" i="34" s="1"/>
  <c r="AD16" i="34"/>
  <c r="AE16" i="34" s="1"/>
  <c r="AD15" i="34"/>
  <c r="AE15" i="34" s="1"/>
  <c r="AD14" i="34"/>
  <c r="AE14" i="34" s="1"/>
  <c r="AD13" i="34"/>
  <c r="AE13" i="34" s="1"/>
  <c r="AD12" i="34"/>
  <c r="AE12" i="34" s="1"/>
  <c r="AD11" i="34"/>
  <c r="AE11" i="34" s="1"/>
  <c r="AD10" i="34"/>
  <c r="AE10" i="34" s="1"/>
  <c r="AD9" i="34"/>
  <c r="AE9" i="34" s="1"/>
  <c r="AD8" i="34"/>
  <c r="AE8" i="34" s="1"/>
  <c r="AB25" i="34"/>
  <c r="AC25" i="34" s="1"/>
  <c r="AB24" i="34"/>
  <c r="AC24" i="34" s="1"/>
  <c r="AB23" i="34"/>
  <c r="AC23" i="34" s="1"/>
  <c r="AB22" i="34"/>
  <c r="AC22" i="34" s="1"/>
  <c r="AB21" i="34"/>
  <c r="AB20" i="34"/>
  <c r="AC20" i="34" s="1"/>
  <c r="AB19" i="34"/>
  <c r="AC19" i="34" s="1"/>
  <c r="AB18" i="34"/>
  <c r="AC18" i="34" s="1"/>
  <c r="AB17" i="34"/>
  <c r="AC17" i="34" s="1"/>
  <c r="AB16" i="34"/>
  <c r="AC16" i="34" s="1"/>
  <c r="AB15" i="34"/>
  <c r="AC15" i="34" s="1"/>
  <c r="AB14" i="34"/>
  <c r="AC14" i="34" s="1"/>
  <c r="AB13" i="34"/>
  <c r="AC13" i="34" s="1"/>
  <c r="AB12" i="34"/>
  <c r="AC12" i="34" s="1"/>
  <c r="AB11" i="34"/>
  <c r="AC11" i="34" s="1"/>
  <c r="AB10" i="34"/>
  <c r="AC10" i="34" s="1"/>
  <c r="AB9" i="34"/>
  <c r="AC9" i="34" s="1"/>
  <c r="AB8" i="34"/>
  <c r="AC8" i="34" s="1"/>
  <c r="AD7" i="34"/>
  <c r="AE7" i="34" s="1"/>
  <c r="AB7" i="34"/>
  <c r="AC7" i="34" s="1"/>
  <c r="AC21" i="34"/>
  <c r="Y26" i="34"/>
  <c r="X18" i="21" s="1"/>
  <c r="X26" i="34"/>
  <c r="W18" i="21" s="1"/>
  <c r="W26" i="34"/>
  <c r="V18" i="21" s="1"/>
  <c r="V26" i="34"/>
  <c r="U18" i="21" s="1"/>
  <c r="U26" i="34"/>
  <c r="T18" i="21" s="1"/>
  <c r="T26" i="34"/>
  <c r="S18" i="21" s="1"/>
  <c r="S26" i="34"/>
  <c r="R18" i="21" s="1"/>
  <c r="R26" i="34"/>
  <c r="Q18" i="21" s="1"/>
  <c r="Q26" i="34"/>
  <c r="P18" i="21" s="1"/>
  <c r="P26" i="34"/>
  <c r="O18" i="21" s="1"/>
  <c r="O26" i="34"/>
  <c r="N18" i="21" s="1"/>
  <c r="N26" i="34"/>
  <c r="M18" i="21" s="1"/>
  <c r="M26" i="34"/>
  <c r="L18" i="21" s="1"/>
  <c r="L26" i="34"/>
  <c r="K18" i="21" s="1"/>
  <c r="K26" i="34"/>
  <c r="J18" i="21" s="1"/>
  <c r="J26" i="34"/>
  <c r="I18" i="21" s="1"/>
  <c r="I26" i="34"/>
  <c r="H18" i="21" s="1"/>
  <c r="H26" i="34"/>
  <c r="G18" i="21" s="1"/>
  <c r="G26" i="34"/>
  <c r="F18" i="21" s="1"/>
  <c r="F26" i="34"/>
  <c r="E18" i="21" s="1"/>
  <c r="AX12" i="33"/>
  <c r="AY12" i="33" s="1"/>
  <c r="AX11" i="33"/>
  <c r="AY11" i="33" s="1"/>
  <c r="AX10" i="33"/>
  <c r="AY10" i="33" s="1"/>
  <c r="AX9" i="33"/>
  <c r="AY9" i="33" s="1"/>
  <c r="AX8" i="33"/>
  <c r="AY8" i="33" s="1"/>
  <c r="AX7" i="33"/>
  <c r="AY7" i="33" s="1"/>
  <c r="AV12" i="33"/>
  <c r="AW12" i="33" s="1"/>
  <c r="AV11" i="33"/>
  <c r="AW11" i="33" s="1"/>
  <c r="AV10" i="33"/>
  <c r="AW10" i="33" s="1"/>
  <c r="AV9" i="33"/>
  <c r="AW9" i="33" s="1"/>
  <c r="AV8" i="33"/>
  <c r="AW8" i="33" s="1"/>
  <c r="AV7" i="33"/>
  <c r="AW7" i="33" s="1"/>
  <c r="AR13" i="33"/>
  <c r="AP13" i="33"/>
  <c r="AN13" i="33"/>
  <c r="AL13" i="33"/>
  <c r="AJ13" i="33"/>
  <c r="AH13" i="33"/>
  <c r="AF13" i="33"/>
  <c r="AD13" i="33"/>
  <c r="AB13" i="33"/>
  <c r="Z13" i="33"/>
  <c r="X13" i="33"/>
  <c r="V13" i="33"/>
  <c r="T13" i="33"/>
  <c r="R13" i="33"/>
  <c r="P13" i="33"/>
  <c r="N13" i="33"/>
  <c r="L13" i="33"/>
  <c r="J13" i="33"/>
  <c r="H13" i="33"/>
  <c r="F13" i="33"/>
  <c r="AE29" i="32"/>
  <c r="AF29" i="32" s="1"/>
  <c r="AE28" i="32"/>
  <c r="AF28" i="32" s="1"/>
  <c r="AE27" i="32"/>
  <c r="AF27" i="32" s="1"/>
  <c r="AE26" i="32"/>
  <c r="AF26" i="32" s="1"/>
  <c r="AE23" i="32"/>
  <c r="AF23" i="32" s="1"/>
  <c r="AE21" i="32"/>
  <c r="AF21" i="32" s="1"/>
  <c r="AE19" i="32"/>
  <c r="AF19" i="32" s="1"/>
  <c r="AE16" i="32"/>
  <c r="AF16" i="32" s="1"/>
  <c r="AE13" i="32"/>
  <c r="AF13" i="32" s="1"/>
  <c r="AE10" i="32"/>
  <c r="AF10" i="32" s="1"/>
  <c r="AC29" i="32"/>
  <c r="AD29" i="32" s="1"/>
  <c r="AC28" i="32"/>
  <c r="AD28" i="32" s="1"/>
  <c r="AC27" i="32"/>
  <c r="AD27" i="32" s="1"/>
  <c r="AC26" i="32"/>
  <c r="AD26" i="32" s="1"/>
  <c r="AC23" i="32"/>
  <c r="AD23" i="32" s="1"/>
  <c r="AC21" i="32"/>
  <c r="AD21" i="32" s="1"/>
  <c r="AC19" i="32"/>
  <c r="AD19" i="32" s="1"/>
  <c r="AC16" i="32"/>
  <c r="AD16" i="32" s="1"/>
  <c r="AC13" i="32"/>
  <c r="AD13" i="32" s="1"/>
  <c r="AC10" i="32"/>
  <c r="AD10" i="32" s="1"/>
  <c r="AE7" i="32"/>
  <c r="AF7" i="32" s="1"/>
  <c r="AC7" i="32"/>
  <c r="AD7" i="32" s="1"/>
  <c r="Z30" i="32"/>
  <c r="Y30" i="32"/>
  <c r="X30" i="32"/>
  <c r="W30" i="32"/>
  <c r="V30" i="32"/>
  <c r="U30" i="32"/>
  <c r="T30" i="32"/>
  <c r="R17" i="21" s="1"/>
  <c r="S30" i="32"/>
  <c r="Q17" i="21" s="1"/>
  <c r="R30" i="32"/>
  <c r="P17" i="21" s="1"/>
  <c r="Q30" i="32"/>
  <c r="O17" i="21" s="1"/>
  <c r="P30" i="32"/>
  <c r="N17" i="21" s="1"/>
  <c r="O30" i="32"/>
  <c r="M17" i="21" s="1"/>
  <c r="N30" i="32"/>
  <c r="M30" i="32"/>
  <c r="L30" i="32"/>
  <c r="K30" i="32"/>
  <c r="J30" i="32"/>
  <c r="H17" i="21" s="1"/>
  <c r="I30" i="32"/>
  <c r="H30" i="32"/>
  <c r="F17" i="21" s="1"/>
  <c r="G30" i="32"/>
  <c r="E17" i="21" s="1"/>
  <c r="AD11" i="31"/>
  <c r="AA11" i="31"/>
  <c r="AB11" i="31" s="1"/>
  <c r="AC7" i="31"/>
  <c r="AD7" i="31" s="1"/>
  <c r="AA7" i="31"/>
  <c r="AB7" i="31" s="1"/>
  <c r="X19" i="31"/>
  <c r="X16" i="21" s="1"/>
  <c r="W19" i="31"/>
  <c r="W16" i="21" s="1"/>
  <c r="V19" i="31"/>
  <c r="V16" i="21" s="1"/>
  <c r="U19" i="31"/>
  <c r="U16" i="21" s="1"/>
  <c r="T19" i="31"/>
  <c r="T16" i="21" s="1"/>
  <c r="S19" i="31"/>
  <c r="S16" i="21" s="1"/>
  <c r="R19" i="31"/>
  <c r="R16" i="21" s="1"/>
  <c r="Q19" i="31"/>
  <c r="Q16" i="21" s="1"/>
  <c r="P19" i="31"/>
  <c r="P16" i="21" s="1"/>
  <c r="O19" i="31"/>
  <c r="O16" i="21" s="1"/>
  <c r="N19" i="31"/>
  <c r="N16" i="21" s="1"/>
  <c r="M19" i="31"/>
  <c r="M16" i="21" s="1"/>
  <c r="L19" i="31"/>
  <c r="L16" i="21" s="1"/>
  <c r="K19" i="31"/>
  <c r="K16" i="21" s="1"/>
  <c r="J19" i="31"/>
  <c r="J16" i="21" s="1"/>
  <c r="I19" i="31"/>
  <c r="I16" i="21" s="1"/>
  <c r="H19" i="31"/>
  <c r="H16" i="21" s="1"/>
  <c r="G19" i="31"/>
  <c r="G16" i="21" s="1"/>
  <c r="F19" i="31"/>
  <c r="F16" i="21" s="1"/>
  <c r="E19" i="31"/>
  <c r="E16" i="21" s="1"/>
  <c r="AX66" i="29"/>
  <c r="AY66" i="29" s="1"/>
  <c r="AX59" i="29"/>
  <c r="AY59" i="29" s="1"/>
  <c r="AX55" i="29"/>
  <c r="AY55" i="29" s="1"/>
  <c r="AX54" i="29"/>
  <c r="AY54" i="29" s="1"/>
  <c r="AX53" i="29"/>
  <c r="AY53" i="29" s="1"/>
  <c r="AX52" i="29"/>
  <c r="AY52" i="29" s="1"/>
  <c r="AX51" i="29"/>
  <c r="AY51" i="29" s="1"/>
  <c r="AX50" i="29"/>
  <c r="AY50" i="29" s="1"/>
  <c r="AX49" i="29"/>
  <c r="AY49" i="29" s="1"/>
  <c r="AX48" i="29"/>
  <c r="AY48" i="29" s="1"/>
  <c r="AX47" i="29"/>
  <c r="AY47" i="29" s="1"/>
  <c r="AX46" i="29"/>
  <c r="AY46" i="29" s="1"/>
  <c r="AX45" i="29"/>
  <c r="AY45" i="29" s="1"/>
  <c r="AX44" i="29"/>
  <c r="AY44" i="29" s="1"/>
  <c r="AX43" i="29"/>
  <c r="AY43" i="29" s="1"/>
  <c r="AX42" i="29"/>
  <c r="AY42" i="29" s="1"/>
  <c r="AX41" i="29"/>
  <c r="AY41" i="29" s="1"/>
  <c r="AX40" i="29"/>
  <c r="AY40" i="29" s="1"/>
  <c r="AX39" i="29"/>
  <c r="AY39" i="29" s="1"/>
  <c r="AX38" i="29"/>
  <c r="AY38" i="29" s="1"/>
  <c r="AX37" i="29"/>
  <c r="AY37" i="29" s="1"/>
  <c r="AX36" i="29"/>
  <c r="AY36" i="29" s="1"/>
  <c r="AX35" i="29"/>
  <c r="AY35" i="29" s="1"/>
  <c r="AX34" i="29"/>
  <c r="AY34" i="29" s="1"/>
  <c r="AX33" i="29"/>
  <c r="AY33" i="29" s="1"/>
  <c r="AX32" i="29"/>
  <c r="AY32" i="29" s="1"/>
  <c r="AX31" i="29"/>
  <c r="AY31" i="29" s="1"/>
  <c r="AX30" i="29"/>
  <c r="AY30" i="29" s="1"/>
  <c r="AX29" i="29"/>
  <c r="AY29" i="29" s="1"/>
  <c r="AX28" i="29"/>
  <c r="AY28" i="29" s="1"/>
  <c r="AX27" i="29"/>
  <c r="AY27" i="29" s="1"/>
  <c r="AX26" i="29"/>
  <c r="AY26" i="29" s="1"/>
  <c r="AX25" i="29"/>
  <c r="AY25" i="29" s="1"/>
  <c r="AX24" i="29"/>
  <c r="AY24" i="29" s="1"/>
  <c r="AX23" i="29"/>
  <c r="AY23" i="29" s="1"/>
  <c r="AX22" i="29"/>
  <c r="AY22" i="29" s="1"/>
  <c r="AX21" i="29"/>
  <c r="AY21" i="29" s="1"/>
  <c r="AX20" i="29"/>
  <c r="AY20" i="29" s="1"/>
  <c r="AX19" i="29"/>
  <c r="AY19" i="29" s="1"/>
  <c r="AX18" i="29"/>
  <c r="AY18" i="29" s="1"/>
  <c r="AX17" i="29"/>
  <c r="AY17" i="29" s="1"/>
  <c r="AX16" i="29"/>
  <c r="AY16" i="29" s="1"/>
  <c r="AX15" i="29"/>
  <c r="AY15" i="29" s="1"/>
  <c r="AX14" i="29"/>
  <c r="AY14" i="29" s="1"/>
  <c r="AX13" i="29"/>
  <c r="AY13" i="29" s="1"/>
  <c r="AX12" i="29"/>
  <c r="AY12" i="29" s="1"/>
  <c r="AX11" i="29"/>
  <c r="AY11" i="29" s="1"/>
  <c r="AX10" i="29"/>
  <c r="AY10" i="29" s="1"/>
  <c r="AX9" i="29"/>
  <c r="AY9" i="29" s="1"/>
  <c r="AX8" i="29"/>
  <c r="AY8" i="29" s="1"/>
  <c r="AV66" i="29"/>
  <c r="AW66" i="29" s="1"/>
  <c r="AV59" i="29"/>
  <c r="AW59" i="29" s="1"/>
  <c r="AV55" i="29"/>
  <c r="AW55" i="29" s="1"/>
  <c r="AV54" i="29"/>
  <c r="AW54" i="29" s="1"/>
  <c r="AV53" i="29"/>
  <c r="AW53" i="29" s="1"/>
  <c r="AV52" i="29"/>
  <c r="AW52" i="29" s="1"/>
  <c r="AV51" i="29"/>
  <c r="AW51" i="29" s="1"/>
  <c r="AV50" i="29"/>
  <c r="AW50" i="29" s="1"/>
  <c r="AV49" i="29"/>
  <c r="AW49" i="29" s="1"/>
  <c r="AV48" i="29"/>
  <c r="AW48" i="29" s="1"/>
  <c r="AV47" i="29"/>
  <c r="AW47" i="29" s="1"/>
  <c r="AV46" i="29"/>
  <c r="AW46" i="29" s="1"/>
  <c r="AV45" i="29"/>
  <c r="AW45" i="29" s="1"/>
  <c r="AV44" i="29"/>
  <c r="AW44" i="29" s="1"/>
  <c r="AV43" i="29"/>
  <c r="AW43" i="29" s="1"/>
  <c r="AV42" i="29"/>
  <c r="AW42" i="29" s="1"/>
  <c r="AV41" i="29"/>
  <c r="AW41" i="29" s="1"/>
  <c r="AV40" i="29"/>
  <c r="AW40" i="29" s="1"/>
  <c r="AV39" i="29"/>
  <c r="AW39" i="29" s="1"/>
  <c r="AV38" i="29"/>
  <c r="AW38" i="29" s="1"/>
  <c r="AV37" i="29"/>
  <c r="AW37" i="29" s="1"/>
  <c r="AV36" i="29"/>
  <c r="AW36" i="29" s="1"/>
  <c r="AV35" i="29"/>
  <c r="AW35" i="29" s="1"/>
  <c r="AV34" i="29"/>
  <c r="AW34" i="29" s="1"/>
  <c r="AV33" i="29"/>
  <c r="AW33" i="29" s="1"/>
  <c r="AV32" i="29"/>
  <c r="AW32" i="29" s="1"/>
  <c r="AV31" i="29"/>
  <c r="AW31" i="29" s="1"/>
  <c r="AV30" i="29"/>
  <c r="AW30" i="29" s="1"/>
  <c r="AV29" i="29"/>
  <c r="AW29" i="29" s="1"/>
  <c r="AV28" i="29"/>
  <c r="AW28" i="29" s="1"/>
  <c r="AV27" i="29"/>
  <c r="AW27" i="29" s="1"/>
  <c r="AV26" i="29"/>
  <c r="AW26" i="29" s="1"/>
  <c r="AV25" i="29"/>
  <c r="AW25" i="29" s="1"/>
  <c r="AV24" i="29"/>
  <c r="AW24" i="29" s="1"/>
  <c r="AV23" i="29"/>
  <c r="AW23" i="29" s="1"/>
  <c r="AV22" i="29"/>
  <c r="AW22" i="29" s="1"/>
  <c r="AV21" i="29"/>
  <c r="AW21" i="29" s="1"/>
  <c r="AV20" i="29"/>
  <c r="AW20" i="29" s="1"/>
  <c r="AV19" i="29"/>
  <c r="AW19" i="29" s="1"/>
  <c r="AV18" i="29"/>
  <c r="AW18" i="29" s="1"/>
  <c r="AV17" i="29"/>
  <c r="AW17" i="29" s="1"/>
  <c r="AV16" i="29"/>
  <c r="AW16" i="29" s="1"/>
  <c r="AV15" i="29"/>
  <c r="AW15" i="29" s="1"/>
  <c r="AV14" i="29"/>
  <c r="AW14" i="29" s="1"/>
  <c r="AV13" i="29"/>
  <c r="AW13" i="29" s="1"/>
  <c r="AV12" i="29"/>
  <c r="AW12" i="29" s="1"/>
  <c r="AV11" i="29"/>
  <c r="AW11" i="29" s="1"/>
  <c r="AV10" i="29"/>
  <c r="AW10" i="29" s="1"/>
  <c r="AV9" i="29"/>
  <c r="AW9" i="29" s="1"/>
  <c r="AV8" i="29"/>
  <c r="AW8" i="29" s="1"/>
  <c r="AX7" i="29"/>
  <c r="AY7" i="29" s="1"/>
  <c r="AV7" i="29"/>
  <c r="AW7" i="29" s="1"/>
  <c r="AR67" i="29"/>
  <c r="AP67" i="29"/>
  <c r="AN67" i="29"/>
  <c r="AL67" i="29"/>
  <c r="AJ67" i="29"/>
  <c r="AH67" i="29"/>
  <c r="AF67" i="29"/>
  <c r="AD67" i="29"/>
  <c r="AB67" i="29"/>
  <c r="Z67" i="29"/>
  <c r="X67" i="29"/>
  <c r="V67" i="29"/>
  <c r="T67" i="29"/>
  <c r="R67" i="29"/>
  <c r="P67" i="29"/>
  <c r="N67" i="29"/>
  <c r="L67" i="29"/>
  <c r="J67" i="29"/>
  <c r="H67" i="29"/>
  <c r="J96" i="28"/>
  <c r="K96" i="28"/>
  <c r="L96" i="28"/>
  <c r="M96" i="28"/>
  <c r="N96" i="28"/>
  <c r="O96" i="28"/>
  <c r="P96" i="28"/>
  <c r="Q96" i="28"/>
  <c r="R96" i="28"/>
  <c r="S96" i="28"/>
  <c r="T96" i="28"/>
  <c r="U96" i="28"/>
  <c r="V96" i="28"/>
  <c r="W96" i="28"/>
  <c r="X96" i="28"/>
  <c r="Y96" i="28"/>
  <c r="Z96" i="28"/>
  <c r="AA96" i="28"/>
  <c r="AB96" i="28"/>
  <c r="I96" i="28"/>
  <c r="E15" i="21" s="1"/>
  <c r="AG95" i="28"/>
  <c r="AH95" i="28" s="1"/>
  <c r="AE95" i="28"/>
  <c r="AF95" i="28" s="1"/>
  <c r="AG94" i="28"/>
  <c r="AH94" i="28" s="1"/>
  <c r="AG93" i="28"/>
  <c r="AH93" i="28" s="1"/>
  <c r="AG92" i="28"/>
  <c r="AH92" i="28" s="1"/>
  <c r="AG91" i="28"/>
  <c r="AH91" i="28" s="1"/>
  <c r="AG90" i="28"/>
  <c r="AH90" i="28" s="1"/>
  <c r="AE94" i="28"/>
  <c r="AF94" i="28" s="1"/>
  <c r="AE93" i="28"/>
  <c r="AF93" i="28" s="1"/>
  <c r="AE92" i="28"/>
  <c r="AF92" i="28" s="1"/>
  <c r="AE91" i="28"/>
  <c r="AF91" i="28" s="1"/>
  <c r="AE90" i="28"/>
  <c r="AF90" i="28" s="1"/>
  <c r="AG87" i="28"/>
  <c r="AH87" i="28" s="1"/>
  <c r="AE87" i="28"/>
  <c r="AF87" i="28" s="1"/>
  <c r="AG86" i="28"/>
  <c r="AH86" i="28" s="1"/>
  <c r="AE86" i="28"/>
  <c r="AF86" i="28" s="1"/>
  <c r="AG85" i="28"/>
  <c r="AH85" i="28" s="1"/>
  <c r="AE85" i="28"/>
  <c r="AF85" i="28" s="1"/>
  <c r="AE84" i="28"/>
  <c r="AF84" i="28" s="1"/>
  <c r="AE83" i="28"/>
  <c r="AF83" i="28" s="1"/>
  <c r="AE82" i="28"/>
  <c r="AF82" i="28" s="1"/>
  <c r="AG84" i="28"/>
  <c r="AH84" i="28" s="1"/>
  <c r="AG83" i="28"/>
  <c r="AH83" i="28" s="1"/>
  <c r="AG82" i="28"/>
  <c r="AH82" i="28" s="1"/>
  <c r="AG79" i="28"/>
  <c r="AH79" i="28" s="1"/>
  <c r="AE79" i="28"/>
  <c r="AF79" i="28" s="1"/>
  <c r="AE78" i="28"/>
  <c r="AF78" i="28" s="1"/>
  <c r="AE77" i="28"/>
  <c r="AF77" i="28" s="1"/>
  <c r="AE76" i="28"/>
  <c r="AF76" i="28" s="1"/>
  <c r="AE73" i="28"/>
  <c r="AF73" i="28" s="1"/>
  <c r="AE70" i="28"/>
  <c r="AF70" i="28" s="1"/>
  <c r="AE67" i="28"/>
  <c r="AF67" i="28" s="1"/>
  <c r="AE64" i="28"/>
  <c r="AF64" i="28" s="1"/>
  <c r="AG78" i="28"/>
  <c r="AH78" i="28" s="1"/>
  <c r="AG77" i="28"/>
  <c r="AH77" i="28" s="1"/>
  <c r="AG76" i="28"/>
  <c r="AH76" i="28" s="1"/>
  <c r="AG73" i="28"/>
  <c r="AH73" i="28" s="1"/>
  <c r="AG70" i="28"/>
  <c r="AH70" i="28" s="1"/>
  <c r="AG67" i="28"/>
  <c r="AH67" i="28" s="1"/>
  <c r="AG64" i="28"/>
  <c r="AH64" i="28" s="1"/>
  <c r="AG61" i="28"/>
  <c r="AH61" i="28" s="1"/>
  <c r="AE61" i="28"/>
  <c r="AF61" i="28" s="1"/>
  <c r="AG60" i="28"/>
  <c r="AH60" i="28" s="1"/>
  <c r="AG59" i="28"/>
  <c r="AH59" i="28" s="1"/>
  <c r="AE60" i="28"/>
  <c r="AF60" i="28" s="1"/>
  <c r="AE59" i="28"/>
  <c r="AF59" i="28" s="1"/>
  <c r="AG58" i="28"/>
  <c r="AH58" i="28" s="1"/>
  <c r="AG57" i="28"/>
  <c r="AH57" i="28" s="1"/>
  <c r="AG54" i="28"/>
  <c r="AH54" i="28" s="1"/>
  <c r="AG51" i="28"/>
  <c r="AH51" i="28" s="1"/>
  <c r="AG48" i="28"/>
  <c r="AH48" i="28" s="1"/>
  <c r="AE58" i="28"/>
  <c r="AF58" i="28" s="1"/>
  <c r="AE57" i="28"/>
  <c r="AF57" i="28" s="1"/>
  <c r="AE54" i="28"/>
  <c r="AF54" i="28" s="1"/>
  <c r="AE51" i="28"/>
  <c r="AF51" i="28" s="1"/>
  <c r="AE48" i="28"/>
  <c r="AF48" i="28" s="1"/>
  <c r="AG45" i="28"/>
  <c r="AH45" i="28" s="1"/>
  <c r="AE45" i="28"/>
  <c r="AF45" i="28" s="1"/>
  <c r="AG44" i="28"/>
  <c r="AH44" i="28" s="1"/>
  <c r="AG43" i="28"/>
  <c r="AH43" i="28" s="1"/>
  <c r="AG42" i="28"/>
  <c r="AH42" i="28" s="1"/>
  <c r="AG41" i="28"/>
  <c r="AH41" i="28" s="1"/>
  <c r="AG40" i="28"/>
  <c r="AH40" i="28" s="1"/>
  <c r="AG39" i="28"/>
  <c r="AH39" i="28" s="1"/>
  <c r="AE44" i="28"/>
  <c r="AF44" i="28" s="1"/>
  <c r="AE43" i="28"/>
  <c r="AF43" i="28" s="1"/>
  <c r="AE42" i="28"/>
  <c r="AF42" i="28" s="1"/>
  <c r="AE41" i="28"/>
  <c r="AF41" i="28" s="1"/>
  <c r="AE40" i="28"/>
  <c r="AF40" i="28" s="1"/>
  <c r="AE39" i="28"/>
  <c r="AF39" i="28" s="1"/>
  <c r="AG38" i="28"/>
  <c r="AH38" i="28" s="1"/>
  <c r="AE38" i="28"/>
  <c r="AF38" i="28" s="1"/>
  <c r="AG37" i="28"/>
  <c r="AH37" i="28" s="1"/>
  <c r="AG36" i="28"/>
  <c r="AH36" i="28" s="1"/>
  <c r="AE37" i="28"/>
  <c r="AF37" i="28" s="1"/>
  <c r="AE36" i="28"/>
  <c r="AF36" i="28" s="1"/>
  <c r="AG35" i="28"/>
  <c r="AH35" i="28" s="1"/>
  <c r="AG32" i="28"/>
  <c r="AH32" i="28" s="1"/>
  <c r="AG31" i="28"/>
  <c r="AH31" i="28" s="1"/>
  <c r="AG30" i="28"/>
  <c r="AH30" i="28" s="1"/>
  <c r="AG27" i="28"/>
  <c r="AH27" i="28" s="1"/>
  <c r="AG24" i="28"/>
  <c r="AH24" i="28" s="1"/>
  <c r="AG21" i="28"/>
  <c r="AH21" i="28" s="1"/>
  <c r="AE35" i="28"/>
  <c r="AF35" i="28" s="1"/>
  <c r="AE32" i="28"/>
  <c r="AF32" i="28" s="1"/>
  <c r="AE31" i="28"/>
  <c r="AF31" i="28" s="1"/>
  <c r="AE30" i="28"/>
  <c r="AF30" i="28" s="1"/>
  <c r="AE27" i="28"/>
  <c r="AF27" i="28" s="1"/>
  <c r="AE24" i="28"/>
  <c r="AF24" i="28" s="1"/>
  <c r="AE21" i="28"/>
  <c r="AF21" i="28" s="1"/>
  <c r="AG20" i="28"/>
  <c r="AH20" i="28" s="1"/>
  <c r="AG17" i="28"/>
  <c r="AH17" i="28" s="1"/>
  <c r="AG14" i="28"/>
  <c r="AH14" i="28" s="1"/>
  <c r="AE20" i="28"/>
  <c r="AF20" i="28" s="1"/>
  <c r="AE17" i="28"/>
  <c r="AF17" i="28" s="1"/>
  <c r="AE14" i="28"/>
  <c r="AF14" i="28" s="1"/>
  <c r="AG13" i="28"/>
  <c r="AH13" i="28" s="1"/>
  <c r="AG12" i="28"/>
  <c r="AH12" i="28" s="1"/>
  <c r="AG11" i="28"/>
  <c r="AH11" i="28" s="1"/>
  <c r="AG10" i="28"/>
  <c r="AH10" i="28" s="1"/>
  <c r="AG7" i="28"/>
  <c r="AH7" i="28" s="1"/>
  <c r="AE13" i="28"/>
  <c r="AF13" i="28" s="1"/>
  <c r="AE12" i="28"/>
  <c r="AF12" i="28" s="1"/>
  <c r="AE11" i="28"/>
  <c r="AF11" i="28" s="1"/>
  <c r="AE10" i="28"/>
  <c r="AF10" i="28" s="1"/>
  <c r="AE7" i="28"/>
  <c r="AF7" i="28" s="1"/>
  <c r="AC7" i="27"/>
  <c r="AD7" i="27" s="1"/>
  <c r="AB7" i="27"/>
  <c r="E56" i="27" s="1"/>
  <c r="AE18" i="26"/>
  <c r="AF18" i="26" s="1"/>
  <c r="AE17" i="26"/>
  <c r="AF17" i="26" s="1"/>
  <c r="AE16" i="26"/>
  <c r="AF16" i="26" s="1"/>
  <c r="AE15" i="26"/>
  <c r="AF15" i="26" s="1"/>
  <c r="AE14" i="26"/>
  <c r="AF14" i="26" s="1"/>
  <c r="AE13" i="26"/>
  <c r="AF13" i="26" s="1"/>
  <c r="AE12" i="26"/>
  <c r="AF12" i="26" s="1"/>
  <c r="AE11" i="26"/>
  <c r="AF11" i="26" s="1"/>
  <c r="AE10" i="26"/>
  <c r="AF10" i="26" s="1"/>
  <c r="AE9" i="26"/>
  <c r="AF9" i="26" s="1"/>
  <c r="AE8" i="26"/>
  <c r="AF8" i="26" s="1"/>
  <c r="AE7" i="26"/>
  <c r="AF7" i="26" s="1"/>
  <c r="AC18" i="26"/>
  <c r="AD18" i="26" s="1"/>
  <c r="AC17" i="26"/>
  <c r="AD17" i="26" s="1"/>
  <c r="AC16" i="26"/>
  <c r="AD16" i="26" s="1"/>
  <c r="AC15" i="26"/>
  <c r="AD15" i="26" s="1"/>
  <c r="AC14" i="26"/>
  <c r="AD14" i="26" s="1"/>
  <c r="AC13" i="26"/>
  <c r="AD13" i="26" s="1"/>
  <c r="AC12" i="26"/>
  <c r="AD12" i="26" s="1"/>
  <c r="AC11" i="26"/>
  <c r="AD11" i="26" s="1"/>
  <c r="AC10" i="26"/>
  <c r="AD10" i="26" s="1"/>
  <c r="AC9" i="26"/>
  <c r="AD9" i="26" s="1"/>
  <c r="AC8" i="26"/>
  <c r="AD8" i="26" s="1"/>
  <c r="AC7" i="26"/>
  <c r="AD7" i="26" s="1"/>
  <c r="Z19" i="26"/>
  <c r="X8" i="21" s="1"/>
  <c r="Y19" i="26"/>
  <c r="W8" i="21" s="1"/>
  <c r="X19" i="26"/>
  <c r="V8" i="21" s="1"/>
  <c r="W19" i="26"/>
  <c r="U8" i="21" s="1"/>
  <c r="V19" i="26"/>
  <c r="T8" i="21" s="1"/>
  <c r="U19" i="26"/>
  <c r="S8" i="21" s="1"/>
  <c r="T19" i="26"/>
  <c r="R8" i="21" s="1"/>
  <c r="S19" i="26"/>
  <c r="Q8" i="21" s="1"/>
  <c r="R19" i="26"/>
  <c r="P8" i="21" s="1"/>
  <c r="Q19" i="26"/>
  <c r="O8" i="21" s="1"/>
  <c r="P19" i="26"/>
  <c r="N8" i="21" s="1"/>
  <c r="O19" i="26"/>
  <c r="M8" i="21" s="1"/>
  <c r="N19" i="26"/>
  <c r="L8" i="21" s="1"/>
  <c r="M19" i="26"/>
  <c r="K8" i="21" s="1"/>
  <c r="L19" i="26"/>
  <c r="J8" i="21" s="1"/>
  <c r="K19" i="26"/>
  <c r="I8" i="21" s="1"/>
  <c r="J19" i="26"/>
  <c r="H8" i="21" s="1"/>
  <c r="I19" i="26"/>
  <c r="G8" i="21" s="1"/>
  <c r="H19" i="26"/>
  <c r="F8" i="21" s="1"/>
  <c r="G19" i="26"/>
  <c r="E8" i="21" s="1"/>
  <c r="AE35" i="25"/>
  <c r="AF35" i="25" s="1"/>
  <c r="AC35" i="25"/>
  <c r="AD35" i="25" s="1"/>
  <c r="AE34" i="25"/>
  <c r="AF34" i="25" s="1"/>
  <c r="AC34" i="25"/>
  <c r="AD34" i="25" s="1"/>
  <c r="AE33" i="25"/>
  <c r="AF33" i="25" s="1"/>
  <c r="AC33" i="25"/>
  <c r="AD33" i="25" s="1"/>
  <c r="AE32" i="25"/>
  <c r="AF32" i="25" s="1"/>
  <c r="AC32" i="25"/>
  <c r="AD32" i="25" s="1"/>
  <c r="AE31" i="25"/>
  <c r="AF31" i="25" s="1"/>
  <c r="AC31" i="25"/>
  <c r="AD31" i="25" s="1"/>
  <c r="AE30" i="25"/>
  <c r="AF30" i="25" s="1"/>
  <c r="AC30" i="25"/>
  <c r="AD30" i="25" s="1"/>
  <c r="AE29" i="25"/>
  <c r="AF29" i="25" s="1"/>
  <c r="AC29" i="25"/>
  <c r="AD29" i="25" s="1"/>
  <c r="AE28" i="25"/>
  <c r="AF28" i="25" s="1"/>
  <c r="AC28" i="25"/>
  <c r="AD28" i="25" s="1"/>
  <c r="AE27" i="25"/>
  <c r="AF27" i="25" s="1"/>
  <c r="AC27" i="25"/>
  <c r="AD27" i="25" s="1"/>
  <c r="AE26" i="25"/>
  <c r="AF26" i="25" s="1"/>
  <c r="AC26" i="25"/>
  <c r="AD26" i="25" s="1"/>
  <c r="AE25" i="25"/>
  <c r="AF25" i="25" s="1"/>
  <c r="AC25" i="25"/>
  <c r="AD25" i="25" s="1"/>
  <c r="AE24" i="25"/>
  <c r="AF24" i="25" s="1"/>
  <c r="AC24" i="25"/>
  <c r="AD24" i="25" s="1"/>
  <c r="AE23" i="25"/>
  <c r="AF23" i="25" s="1"/>
  <c r="AC23" i="25"/>
  <c r="AD23" i="25" s="1"/>
  <c r="AE22" i="25"/>
  <c r="AF22" i="25" s="1"/>
  <c r="AC22" i="25"/>
  <c r="AD22" i="25" s="1"/>
  <c r="AE21" i="25"/>
  <c r="AF21" i="25" s="1"/>
  <c r="AC21" i="25"/>
  <c r="AD21" i="25" s="1"/>
  <c r="AE20" i="25"/>
  <c r="AF20" i="25" s="1"/>
  <c r="AC20" i="25"/>
  <c r="AD20" i="25" s="1"/>
  <c r="AE19" i="25"/>
  <c r="AF19" i="25" s="1"/>
  <c r="AC19" i="25"/>
  <c r="AD19" i="25" s="1"/>
  <c r="AE18" i="25"/>
  <c r="AF18" i="25" s="1"/>
  <c r="AC18" i="25"/>
  <c r="AD18" i="25" s="1"/>
  <c r="AE17" i="25"/>
  <c r="AF17" i="25" s="1"/>
  <c r="AC17" i="25"/>
  <c r="AD17" i="25" s="1"/>
  <c r="AE16" i="25"/>
  <c r="AF16" i="25" s="1"/>
  <c r="AC16" i="25"/>
  <c r="AD16" i="25" s="1"/>
  <c r="AE15" i="25"/>
  <c r="AF15" i="25" s="1"/>
  <c r="AC15" i="25"/>
  <c r="AD15" i="25" s="1"/>
  <c r="AE14" i="25"/>
  <c r="AF14" i="25" s="1"/>
  <c r="AC14" i="25"/>
  <c r="AD14" i="25" s="1"/>
  <c r="AE13" i="25"/>
  <c r="AF13" i="25" s="1"/>
  <c r="AC13" i="25"/>
  <c r="AD13" i="25" s="1"/>
  <c r="AE12" i="25"/>
  <c r="AF12" i="25" s="1"/>
  <c r="AC12" i="25"/>
  <c r="AD12" i="25" s="1"/>
  <c r="AE11" i="25"/>
  <c r="AF11" i="25" s="1"/>
  <c r="AC11" i="25"/>
  <c r="AD11" i="25" s="1"/>
  <c r="AE10" i="25"/>
  <c r="AF10" i="25" s="1"/>
  <c r="AC10" i="25"/>
  <c r="AD10" i="25" s="1"/>
  <c r="AE9" i="25"/>
  <c r="AF9" i="25" s="1"/>
  <c r="AC9" i="25"/>
  <c r="AD9" i="25" s="1"/>
  <c r="AE8" i="25"/>
  <c r="AF8" i="25" s="1"/>
  <c r="AC8" i="25"/>
  <c r="AD8" i="25" s="1"/>
  <c r="AE63" i="25"/>
  <c r="AF63" i="25" s="1"/>
  <c r="AC63" i="25"/>
  <c r="AD63" i="25" s="1"/>
  <c r="AE62" i="25"/>
  <c r="AF62" i="25" s="1"/>
  <c r="AC62" i="25"/>
  <c r="AD62" i="25" s="1"/>
  <c r="AE61" i="25"/>
  <c r="AF61" i="25" s="1"/>
  <c r="AC61" i="25"/>
  <c r="AD61" i="25" s="1"/>
  <c r="AE60" i="25"/>
  <c r="AF60" i="25" s="1"/>
  <c r="AC60" i="25"/>
  <c r="AD60" i="25" s="1"/>
  <c r="AE59" i="25"/>
  <c r="AF59" i="25" s="1"/>
  <c r="AC59" i="25"/>
  <c r="AD59" i="25" s="1"/>
  <c r="AE58" i="25"/>
  <c r="AF58" i="25" s="1"/>
  <c r="AC58" i="25"/>
  <c r="AD58" i="25" s="1"/>
  <c r="AE57" i="25"/>
  <c r="AF57" i="25" s="1"/>
  <c r="AC57" i="25"/>
  <c r="AD57" i="25" s="1"/>
  <c r="AE56" i="25"/>
  <c r="AF56" i="25" s="1"/>
  <c r="AC56" i="25"/>
  <c r="AD56" i="25" s="1"/>
  <c r="AE55" i="25"/>
  <c r="AF55" i="25" s="1"/>
  <c r="AC55" i="25"/>
  <c r="AD55" i="25" s="1"/>
  <c r="AE54" i="25"/>
  <c r="AF54" i="25" s="1"/>
  <c r="AC54" i="25"/>
  <c r="AD54" i="25" s="1"/>
  <c r="AE53" i="25"/>
  <c r="AF53" i="25" s="1"/>
  <c r="AC53" i="25"/>
  <c r="AD53" i="25" s="1"/>
  <c r="AE52" i="25"/>
  <c r="AF52" i="25" s="1"/>
  <c r="AC52" i="25"/>
  <c r="AD52" i="25" s="1"/>
  <c r="AE51" i="25"/>
  <c r="AF51" i="25" s="1"/>
  <c r="AC51" i="25"/>
  <c r="AD51" i="25" s="1"/>
  <c r="AE50" i="25"/>
  <c r="AF50" i="25" s="1"/>
  <c r="AC50" i="25"/>
  <c r="AD50" i="25" s="1"/>
  <c r="AE64" i="25"/>
  <c r="AF64" i="25" s="1"/>
  <c r="AE49" i="25"/>
  <c r="AF49" i="25" s="1"/>
  <c r="AE48" i="25"/>
  <c r="AF48" i="25" s="1"/>
  <c r="AE47" i="25"/>
  <c r="AF47" i="25" s="1"/>
  <c r="AE46" i="25"/>
  <c r="AF46" i="25" s="1"/>
  <c r="AE45" i="25"/>
  <c r="AF45" i="25" s="1"/>
  <c r="AE44" i="25"/>
  <c r="AF44" i="25" s="1"/>
  <c r="AE43" i="25"/>
  <c r="AF43" i="25" s="1"/>
  <c r="AE42" i="25"/>
  <c r="AF42" i="25" s="1"/>
  <c r="AE41" i="25"/>
  <c r="AF41" i="25" s="1"/>
  <c r="AE40" i="25"/>
  <c r="AF40" i="25" s="1"/>
  <c r="AE39" i="25"/>
  <c r="AF39" i="25" s="1"/>
  <c r="AE38" i="25"/>
  <c r="AF38" i="25" s="1"/>
  <c r="AE37" i="25"/>
  <c r="AF37" i="25" s="1"/>
  <c r="AE36" i="25"/>
  <c r="AF36" i="25" s="1"/>
  <c r="AE7" i="25"/>
  <c r="AF7" i="25" s="1"/>
  <c r="AC64" i="25"/>
  <c r="AD64" i="25" s="1"/>
  <c r="AC49" i="25"/>
  <c r="AD49" i="25" s="1"/>
  <c r="AC48" i="25"/>
  <c r="AD48" i="25" s="1"/>
  <c r="AC47" i="25"/>
  <c r="AD47" i="25" s="1"/>
  <c r="AC46" i="25"/>
  <c r="AD46" i="25" s="1"/>
  <c r="AC45" i="25"/>
  <c r="AD45" i="25" s="1"/>
  <c r="AC44" i="25"/>
  <c r="AD44" i="25" s="1"/>
  <c r="AC43" i="25"/>
  <c r="AD43" i="25" s="1"/>
  <c r="AC42" i="25"/>
  <c r="AD42" i="25" s="1"/>
  <c r="AC41" i="25"/>
  <c r="AD41" i="25" s="1"/>
  <c r="AC40" i="25"/>
  <c r="AD40" i="25" s="1"/>
  <c r="AC39" i="25"/>
  <c r="AD39" i="25" s="1"/>
  <c r="AC38" i="25"/>
  <c r="AD38" i="25" s="1"/>
  <c r="AC37" i="25"/>
  <c r="AD37" i="25" s="1"/>
  <c r="AC36" i="25"/>
  <c r="AD36" i="25" s="1"/>
  <c r="AC7" i="25"/>
  <c r="AD7" i="25" s="1"/>
  <c r="Z65" i="25"/>
  <c r="X12" i="21" s="1"/>
  <c r="Y65" i="25"/>
  <c r="W12" i="21" s="1"/>
  <c r="X65" i="25"/>
  <c r="V12" i="21" s="1"/>
  <c r="W65" i="25"/>
  <c r="U12" i="21" s="1"/>
  <c r="V65" i="25"/>
  <c r="T12" i="21" s="1"/>
  <c r="U65" i="25"/>
  <c r="S12" i="21" s="1"/>
  <c r="T65" i="25"/>
  <c r="R12" i="21" s="1"/>
  <c r="S65" i="25"/>
  <c r="Q12" i="21" s="1"/>
  <c r="R65" i="25"/>
  <c r="P12" i="21" s="1"/>
  <c r="Q65" i="25"/>
  <c r="O12" i="21" s="1"/>
  <c r="P65" i="25"/>
  <c r="N12" i="21" s="1"/>
  <c r="O65" i="25"/>
  <c r="M12" i="21" s="1"/>
  <c r="N65" i="25"/>
  <c r="L12" i="21" s="1"/>
  <c r="M65" i="25"/>
  <c r="K12" i="21" s="1"/>
  <c r="L65" i="25"/>
  <c r="J12" i="21" s="1"/>
  <c r="K65" i="25"/>
  <c r="I12" i="21" s="1"/>
  <c r="J65" i="25"/>
  <c r="H12" i="21" s="1"/>
  <c r="I65" i="25"/>
  <c r="G12" i="21" s="1"/>
  <c r="H65" i="25"/>
  <c r="F12" i="21" s="1"/>
  <c r="G65" i="25"/>
  <c r="E12" i="21" s="1"/>
  <c r="AE18" i="24"/>
  <c r="AF18" i="24" s="1"/>
  <c r="AE17" i="24"/>
  <c r="AF17" i="24" s="1"/>
  <c r="AE16" i="24"/>
  <c r="AF16" i="24" s="1"/>
  <c r="AE15" i="24"/>
  <c r="AF15" i="24" s="1"/>
  <c r="AE14" i="24"/>
  <c r="AF14" i="24" s="1"/>
  <c r="AE13" i="24"/>
  <c r="AF13" i="24" s="1"/>
  <c r="AE12" i="24"/>
  <c r="AF12" i="24" s="1"/>
  <c r="AE11" i="24"/>
  <c r="AF11" i="24" s="1"/>
  <c r="AE10" i="24"/>
  <c r="AF10" i="24" s="1"/>
  <c r="AE9" i="24"/>
  <c r="AF9" i="24" s="1"/>
  <c r="AE8" i="24"/>
  <c r="AF8" i="24" s="1"/>
  <c r="AE7" i="24"/>
  <c r="AF7" i="24" s="1"/>
  <c r="AC18" i="24"/>
  <c r="AD18" i="24" s="1"/>
  <c r="AC17" i="24"/>
  <c r="AD17" i="24" s="1"/>
  <c r="AC16" i="24"/>
  <c r="AD16" i="24" s="1"/>
  <c r="AC15" i="24"/>
  <c r="AD15" i="24" s="1"/>
  <c r="AC14" i="24"/>
  <c r="AD14" i="24" s="1"/>
  <c r="AC13" i="24"/>
  <c r="AD13" i="24" s="1"/>
  <c r="AC12" i="24"/>
  <c r="AD12" i="24" s="1"/>
  <c r="AC11" i="24"/>
  <c r="AD11" i="24" s="1"/>
  <c r="AC10" i="24"/>
  <c r="AD10" i="24" s="1"/>
  <c r="AC9" i="24"/>
  <c r="AD9" i="24" s="1"/>
  <c r="AC8" i="24"/>
  <c r="AD8" i="24" s="1"/>
  <c r="AC7" i="24"/>
  <c r="AD7" i="24" s="1"/>
  <c r="Z19" i="24"/>
  <c r="X11" i="21" s="1"/>
  <c r="Y19" i="24"/>
  <c r="W11" i="21" s="1"/>
  <c r="X19" i="24"/>
  <c r="V11" i="21" s="1"/>
  <c r="W19" i="24"/>
  <c r="U11" i="21" s="1"/>
  <c r="V19" i="24"/>
  <c r="T11" i="21" s="1"/>
  <c r="U19" i="24"/>
  <c r="S11" i="21" s="1"/>
  <c r="T19" i="24"/>
  <c r="R11" i="21" s="1"/>
  <c r="S19" i="24"/>
  <c r="Q11" i="21" s="1"/>
  <c r="R19" i="24"/>
  <c r="P11" i="21" s="1"/>
  <c r="Q19" i="24"/>
  <c r="O11" i="21" s="1"/>
  <c r="P19" i="24"/>
  <c r="N11" i="21" s="1"/>
  <c r="O19" i="24"/>
  <c r="M11" i="21" s="1"/>
  <c r="N19" i="24"/>
  <c r="L11" i="21" s="1"/>
  <c r="M19" i="24"/>
  <c r="K11" i="21" s="1"/>
  <c r="L19" i="24"/>
  <c r="J11" i="21" s="1"/>
  <c r="K19" i="24"/>
  <c r="I11" i="21" s="1"/>
  <c r="J19" i="24"/>
  <c r="H11" i="21" s="1"/>
  <c r="I19" i="24"/>
  <c r="G11" i="21" s="1"/>
  <c r="H19" i="24"/>
  <c r="F11" i="21" s="1"/>
  <c r="G19" i="24"/>
  <c r="E11" i="21" s="1"/>
  <c r="AE14" i="23"/>
  <c r="AF14" i="23" s="1"/>
  <c r="AE13" i="23"/>
  <c r="AF13" i="23" s="1"/>
  <c r="AE12" i="23"/>
  <c r="AF12" i="23" s="1"/>
  <c r="AE11" i="23"/>
  <c r="AF11" i="23" s="1"/>
  <c r="AE10" i="23"/>
  <c r="AF10" i="23" s="1"/>
  <c r="AE9" i="23"/>
  <c r="AF9" i="23" s="1"/>
  <c r="AE8" i="23"/>
  <c r="AF8" i="23" s="1"/>
  <c r="AE7" i="23"/>
  <c r="AF7" i="23" s="1"/>
  <c r="AC14" i="23"/>
  <c r="AD14" i="23" s="1"/>
  <c r="AC13" i="23"/>
  <c r="AD13" i="23" s="1"/>
  <c r="AC12" i="23"/>
  <c r="AD12" i="23" s="1"/>
  <c r="AC11" i="23"/>
  <c r="AD11" i="23" s="1"/>
  <c r="AC10" i="23"/>
  <c r="AD10" i="23" s="1"/>
  <c r="AC9" i="23"/>
  <c r="AD9" i="23" s="1"/>
  <c r="AC8" i="23"/>
  <c r="AD8" i="23" s="1"/>
  <c r="AC7" i="23"/>
  <c r="AD7" i="23" s="1"/>
  <c r="Z15" i="23"/>
  <c r="X10" i="21" s="1"/>
  <c r="Y15" i="23"/>
  <c r="W10" i="21" s="1"/>
  <c r="X15" i="23"/>
  <c r="V10" i="21" s="1"/>
  <c r="W15" i="23"/>
  <c r="U10" i="21" s="1"/>
  <c r="V15" i="23"/>
  <c r="T10" i="21" s="1"/>
  <c r="U15" i="23"/>
  <c r="S10" i="21" s="1"/>
  <c r="T15" i="23"/>
  <c r="R10" i="21" s="1"/>
  <c r="S15" i="23"/>
  <c r="Q10" i="21" s="1"/>
  <c r="R15" i="23"/>
  <c r="P10" i="21" s="1"/>
  <c r="Q15" i="23"/>
  <c r="O10" i="21" s="1"/>
  <c r="P15" i="23"/>
  <c r="N10" i="21" s="1"/>
  <c r="O15" i="23"/>
  <c r="M10" i="21" s="1"/>
  <c r="N15" i="23"/>
  <c r="L10" i="21" s="1"/>
  <c r="M15" i="23"/>
  <c r="K10" i="21" s="1"/>
  <c r="L15" i="23"/>
  <c r="J10" i="21" s="1"/>
  <c r="K15" i="23"/>
  <c r="I10" i="21" s="1"/>
  <c r="J15" i="23"/>
  <c r="H10" i="21" s="1"/>
  <c r="I15" i="23"/>
  <c r="G10" i="21" s="1"/>
  <c r="H15" i="23"/>
  <c r="F10" i="21" s="1"/>
  <c r="G15" i="23"/>
  <c r="E10" i="21" s="1"/>
  <c r="AQ34" i="22"/>
  <c r="AR34" i="22" s="1"/>
  <c r="AQ33" i="22"/>
  <c r="AR33" i="22" s="1"/>
  <c r="AQ32" i="22"/>
  <c r="AR32" i="22" s="1"/>
  <c r="AQ31" i="22"/>
  <c r="AR31" i="22" s="1"/>
  <c r="AQ30" i="22"/>
  <c r="AR30" i="22" s="1"/>
  <c r="AQ29" i="22"/>
  <c r="AR29" i="22" s="1"/>
  <c r="AQ28" i="22"/>
  <c r="AR28" i="22" s="1"/>
  <c r="AQ27" i="22"/>
  <c r="AR27" i="22" s="1"/>
  <c r="AQ26" i="22"/>
  <c r="AR26" i="22" s="1"/>
  <c r="AQ25" i="22"/>
  <c r="AR25" i="22" s="1"/>
  <c r="AQ24" i="22"/>
  <c r="AR24" i="22" s="1"/>
  <c r="AQ23" i="22"/>
  <c r="AR23" i="22" s="1"/>
  <c r="AQ22" i="22"/>
  <c r="AR22" i="22" s="1"/>
  <c r="AQ21" i="22"/>
  <c r="AR21" i="22" s="1"/>
  <c r="AQ20" i="22"/>
  <c r="AR20" i="22" s="1"/>
  <c r="AQ19" i="22"/>
  <c r="AR19" i="22" s="1"/>
  <c r="AQ18" i="22"/>
  <c r="AR18" i="22" s="1"/>
  <c r="AQ17" i="22"/>
  <c r="AR17" i="22" s="1"/>
  <c r="AQ16" i="22"/>
  <c r="AR16" i="22" s="1"/>
  <c r="AQ15" i="22"/>
  <c r="AR15" i="22" s="1"/>
  <c r="AQ14" i="22"/>
  <c r="AR14" i="22" s="1"/>
  <c r="AQ13" i="22"/>
  <c r="AR13" i="22" s="1"/>
  <c r="AQ12" i="22"/>
  <c r="AR12" i="22" s="1"/>
  <c r="AQ11" i="22"/>
  <c r="AR11" i="22" s="1"/>
  <c r="AQ10" i="22"/>
  <c r="AR10" i="22" s="1"/>
  <c r="AQ9" i="22"/>
  <c r="AR9" i="22" s="1"/>
  <c r="AO20" i="22"/>
  <c r="AP20" i="22" s="1"/>
  <c r="AO19" i="22"/>
  <c r="AP19" i="22" s="1"/>
  <c r="AO18" i="22"/>
  <c r="AP18" i="22" s="1"/>
  <c r="AO17" i="22"/>
  <c r="AP17" i="22" s="1"/>
  <c r="AO16" i="22"/>
  <c r="AP16" i="22" s="1"/>
  <c r="AO15" i="22"/>
  <c r="AP15" i="22" s="1"/>
  <c r="AO14" i="22"/>
  <c r="AP14" i="22" s="1"/>
  <c r="AO13" i="22"/>
  <c r="AP13" i="22" s="1"/>
  <c r="AO12" i="22"/>
  <c r="AP12" i="22" s="1"/>
  <c r="AO11" i="22"/>
  <c r="AP11" i="22" s="1"/>
  <c r="AO10" i="22"/>
  <c r="AP10" i="22" s="1"/>
  <c r="AO9" i="22"/>
  <c r="AP9" i="22" s="1"/>
  <c r="AO34" i="22"/>
  <c r="AP34" i="22" s="1"/>
  <c r="AO33" i="22"/>
  <c r="AP33" i="22" s="1"/>
  <c r="AO32" i="22"/>
  <c r="AP32" i="22" s="1"/>
  <c r="AO31" i="22"/>
  <c r="AP31" i="22" s="1"/>
  <c r="AO30" i="22"/>
  <c r="AP30" i="22" s="1"/>
  <c r="AO29" i="22"/>
  <c r="AP29" i="22" s="1"/>
  <c r="AO28" i="22"/>
  <c r="AP28" i="22" s="1"/>
  <c r="AO27" i="22"/>
  <c r="AP27" i="22" s="1"/>
  <c r="AO26" i="22"/>
  <c r="AP26" i="22" s="1"/>
  <c r="AO25" i="22"/>
  <c r="AP25" i="22" s="1"/>
  <c r="AO24" i="22"/>
  <c r="AP24" i="22" s="1"/>
  <c r="AO23" i="22"/>
  <c r="AP23" i="22" s="1"/>
  <c r="AO22" i="22"/>
  <c r="AP22" i="22" s="1"/>
  <c r="AO21" i="22"/>
  <c r="AP21" i="22" s="1"/>
  <c r="AK20" i="22"/>
  <c r="AL20" i="22" s="1"/>
  <c r="AK19" i="22"/>
  <c r="AL19" i="22" s="1"/>
  <c r="AK18" i="22"/>
  <c r="AL18" i="22" s="1"/>
  <c r="AK17" i="22"/>
  <c r="AL17" i="22" s="1"/>
  <c r="AK16" i="22"/>
  <c r="AL16" i="22" s="1"/>
  <c r="AK15" i="22"/>
  <c r="AL15" i="22" s="1"/>
  <c r="AK14" i="22"/>
  <c r="AL14" i="22" s="1"/>
  <c r="AK13" i="22"/>
  <c r="AL13" i="22" s="1"/>
  <c r="AK12" i="22"/>
  <c r="AL12" i="22" s="1"/>
  <c r="AK11" i="22"/>
  <c r="AL11" i="22" s="1"/>
  <c r="AK10" i="22"/>
  <c r="AL10" i="22" s="1"/>
  <c r="AK9" i="22"/>
  <c r="AL9" i="22" s="1"/>
  <c r="AK8" i="22"/>
  <c r="AL8" i="22" s="1"/>
  <c r="AI9" i="22"/>
  <c r="AJ9" i="22" s="1"/>
  <c r="AI10" i="22"/>
  <c r="AJ10" i="22" s="1"/>
  <c r="AI11" i="22"/>
  <c r="AJ11" i="22" s="1"/>
  <c r="AI12" i="22"/>
  <c r="AJ12" i="22" s="1"/>
  <c r="AI13" i="22"/>
  <c r="AJ13" i="22" s="1"/>
  <c r="AI14" i="22"/>
  <c r="AJ14" i="22" s="1"/>
  <c r="AI15" i="22"/>
  <c r="AJ15" i="22" s="1"/>
  <c r="AI16" i="22"/>
  <c r="AJ16" i="22" s="1"/>
  <c r="AI17" i="22"/>
  <c r="AJ17" i="22" s="1"/>
  <c r="AI18" i="22"/>
  <c r="AJ18" i="22" s="1"/>
  <c r="AI19" i="22"/>
  <c r="AJ19" i="22" s="1"/>
  <c r="AI20" i="22"/>
  <c r="AJ20" i="22" s="1"/>
  <c r="AI8" i="22"/>
  <c r="AJ8" i="22" s="1"/>
  <c r="AK7" i="22"/>
  <c r="AL7" i="22" s="1"/>
  <c r="AI7" i="22"/>
  <c r="AJ7" i="22" s="1"/>
  <c r="AE20" i="22"/>
  <c r="AF20" i="22" s="1"/>
  <c r="AE19" i="22"/>
  <c r="AF19" i="22" s="1"/>
  <c r="AE18" i="22"/>
  <c r="AF18" i="22" s="1"/>
  <c r="AE17" i="22"/>
  <c r="AF17" i="22" s="1"/>
  <c r="AE16" i="22"/>
  <c r="AF16" i="22" s="1"/>
  <c r="AE15" i="22"/>
  <c r="AF15" i="22" s="1"/>
  <c r="AE14" i="22"/>
  <c r="AF14" i="22" s="1"/>
  <c r="AE13" i="22"/>
  <c r="AF13" i="22" s="1"/>
  <c r="AE12" i="22"/>
  <c r="AF12" i="22" s="1"/>
  <c r="AE11" i="22"/>
  <c r="AF11" i="22" s="1"/>
  <c r="AE10" i="22"/>
  <c r="AF10" i="22" s="1"/>
  <c r="AE9" i="22"/>
  <c r="AF9" i="22" s="1"/>
  <c r="AC11" i="22"/>
  <c r="AD11" i="22" s="1"/>
  <c r="AC12" i="22"/>
  <c r="AD12" i="22" s="1"/>
  <c r="AC13" i="22"/>
  <c r="AD13" i="22" s="1"/>
  <c r="AC14" i="22"/>
  <c r="AD14" i="22" s="1"/>
  <c r="AC15" i="22"/>
  <c r="AD15" i="22" s="1"/>
  <c r="AC16" i="22"/>
  <c r="AD16" i="22" s="1"/>
  <c r="AC17" i="22"/>
  <c r="AD17" i="22" s="1"/>
  <c r="AC18" i="22"/>
  <c r="AD18" i="22" s="1"/>
  <c r="AC19" i="22"/>
  <c r="AD19" i="22" s="1"/>
  <c r="AC20" i="22"/>
  <c r="AD20" i="22" s="1"/>
  <c r="AC10" i="22"/>
  <c r="AD10" i="22" s="1"/>
  <c r="AC9" i="22"/>
  <c r="AD9" i="22" s="1"/>
  <c r="AE34" i="22"/>
  <c r="AF34" i="22" s="1"/>
  <c r="AE33" i="22"/>
  <c r="AF33" i="22" s="1"/>
  <c r="AE32" i="22"/>
  <c r="AF32" i="22" s="1"/>
  <c r="AE31" i="22"/>
  <c r="AF31" i="22" s="1"/>
  <c r="AE30" i="22"/>
  <c r="AF30" i="22" s="1"/>
  <c r="AE29" i="22"/>
  <c r="AF29" i="22" s="1"/>
  <c r="AE28" i="22"/>
  <c r="AF28" i="22" s="1"/>
  <c r="AE27" i="22"/>
  <c r="AF27" i="22" s="1"/>
  <c r="AE26" i="22"/>
  <c r="AF26" i="22" s="1"/>
  <c r="AE25" i="22"/>
  <c r="AF25" i="22" s="1"/>
  <c r="AE24" i="22"/>
  <c r="AF24" i="22" s="1"/>
  <c r="AE23" i="22"/>
  <c r="AF23" i="22" s="1"/>
  <c r="AE22" i="22"/>
  <c r="AF22" i="22" s="1"/>
  <c r="AC34" i="22"/>
  <c r="AD34" i="22" s="1"/>
  <c r="AC33" i="22"/>
  <c r="AD33" i="22" s="1"/>
  <c r="AC32" i="22"/>
  <c r="AD32" i="22" s="1"/>
  <c r="AC31" i="22"/>
  <c r="AD31" i="22" s="1"/>
  <c r="AC30" i="22"/>
  <c r="AD30" i="22" s="1"/>
  <c r="AC29" i="22"/>
  <c r="AD29" i="22" s="1"/>
  <c r="AC28" i="22"/>
  <c r="AD28" i="22" s="1"/>
  <c r="AC27" i="22"/>
  <c r="AD27" i="22" s="1"/>
  <c r="AC26" i="22"/>
  <c r="AD26" i="22" s="1"/>
  <c r="AC25" i="22"/>
  <c r="AD25" i="22" s="1"/>
  <c r="AC24" i="22"/>
  <c r="AD24" i="22" s="1"/>
  <c r="AC23" i="22"/>
  <c r="AD23" i="22" s="1"/>
  <c r="AC22" i="22"/>
  <c r="AD22" i="22" s="1"/>
  <c r="AE21" i="22"/>
  <c r="AF21" i="22" s="1"/>
  <c r="AC21" i="22"/>
  <c r="AD21" i="22" s="1"/>
  <c r="AE8" i="22"/>
  <c r="AF8" i="22" s="1"/>
  <c r="AC8" i="22"/>
  <c r="AD8" i="22" s="1"/>
  <c r="AE7" i="22"/>
  <c r="AF7" i="22" s="1"/>
  <c r="AC7" i="22"/>
  <c r="AD7" i="22" s="1"/>
  <c r="Z35" i="22"/>
  <c r="X9" i="21" s="1"/>
  <c r="Y35" i="22"/>
  <c r="W9" i="21" s="1"/>
  <c r="X35" i="22"/>
  <c r="V9" i="21" s="1"/>
  <c r="W35" i="22"/>
  <c r="U9" i="21" s="1"/>
  <c r="V35" i="22"/>
  <c r="U35" i="22"/>
  <c r="S9" i="21" s="1"/>
  <c r="T35" i="22"/>
  <c r="R9" i="21" s="1"/>
  <c r="S35" i="22"/>
  <c r="Q9" i="21" s="1"/>
  <c r="R35" i="22"/>
  <c r="P9" i="21" s="1"/>
  <c r="Q35" i="22"/>
  <c r="O9" i="21" s="1"/>
  <c r="P35" i="22"/>
  <c r="N9" i="21" s="1"/>
  <c r="O35" i="22"/>
  <c r="M9" i="21" s="1"/>
  <c r="N35" i="22"/>
  <c r="L9" i="21" s="1"/>
  <c r="M35" i="22"/>
  <c r="K9" i="21" s="1"/>
  <c r="L35" i="22"/>
  <c r="J9" i="21" s="1"/>
  <c r="K35" i="22"/>
  <c r="I9" i="21" s="1"/>
  <c r="J35" i="22"/>
  <c r="H9" i="21" s="1"/>
  <c r="I35" i="22"/>
  <c r="G9" i="21" s="1"/>
  <c r="H35" i="22"/>
  <c r="F9" i="21" s="1"/>
  <c r="G35" i="22"/>
  <c r="E9" i="21" s="1"/>
  <c r="AE7" i="20"/>
  <c r="AF7" i="20" s="1"/>
  <c r="I23" i="20"/>
  <c r="G7" i="21" s="1"/>
  <c r="J23" i="20"/>
  <c r="H7" i="21" s="1"/>
  <c r="K23" i="20"/>
  <c r="I7" i="21" s="1"/>
  <c r="L23" i="20"/>
  <c r="J7" i="21" s="1"/>
  <c r="M23" i="20"/>
  <c r="K7" i="21" s="1"/>
  <c r="N23" i="20"/>
  <c r="L7" i="21" s="1"/>
  <c r="O23" i="20"/>
  <c r="M7" i="21" s="1"/>
  <c r="P23" i="20"/>
  <c r="N7" i="21" s="1"/>
  <c r="Q23" i="20"/>
  <c r="O7" i="21" s="1"/>
  <c r="R23" i="20"/>
  <c r="P7" i="21" s="1"/>
  <c r="S23" i="20"/>
  <c r="Q7" i="21" s="1"/>
  <c r="T23" i="20"/>
  <c r="R7" i="21" s="1"/>
  <c r="U23" i="20"/>
  <c r="S7" i="21" s="1"/>
  <c r="V23" i="20"/>
  <c r="T7" i="21" s="1"/>
  <c r="W23" i="20"/>
  <c r="U7" i="21" s="1"/>
  <c r="X23" i="20"/>
  <c r="V7" i="21" s="1"/>
  <c r="Y23" i="20"/>
  <c r="W7" i="21" s="1"/>
  <c r="Z23" i="20"/>
  <c r="X7" i="21" s="1"/>
  <c r="H23" i="20"/>
  <c r="F7" i="21" s="1"/>
  <c r="G23" i="20"/>
  <c r="E7" i="21" s="1"/>
  <c r="AE22" i="20"/>
  <c r="AF22" i="20" s="1"/>
  <c r="AE21" i="20"/>
  <c r="AF21" i="20" s="1"/>
  <c r="AE20" i="20"/>
  <c r="AF20" i="20" s="1"/>
  <c r="AE19" i="20"/>
  <c r="AF19" i="20" s="1"/>
  <c r="AE18" i="20"/>
  <c r="AF18" i="20" s="1"/>
  <c r="AE17" i="20"/>
  <c r="AF17" i="20" s="1"/>
  <c r="AE16" i="20"/>
  <c r="AF16" i="20" s="1"/>
  <c r="AE15" i="20"/>
  <c r="AF15" i="20" s="1"/>
  <c r="AE14" i="20"/>
  <c r="AF14" i="20" s="1"/>
  <c r="AE13" i="20"/>
  <c r="AF13" i="20" s="1"/>
  <c r="AE12" i="20"/>
  <c r="AF12" i="20" s="1"/>
  <c r="AE11" i="20"/>
  <c r="AF11" i="20" s="1"/>
  <c r="AE10" i="20"/>
  <c r="AF10" i="20" s="1"/>
  <c r="AE9" i="20"/>
  <c r="AF9" i="20" s="1"/>
  <c r="AE8" i="20"/>
  <c r="AF8" i="20" s="1"/>
  <c r="AC22" i="20"/>
  <c r="AD22" i="20" s="1"/>
  <c r="AC21" i="20"/>
  <c r="AD21" i="20" s="1"/>
  <c r="AC20" i="20"/>
  <c r="AD20" i="20" s="1"/>
  <c r="AC19" i="20"/>
  <c r="AD19" i="20" s="1"/>
  <c r="AC18" i="20"/>
  <c r="AD18" i="20" s="1"/>
  <c r="AC17" i="20"/>
  <c r="AD17" i="20" s="1"/>
  <c r="AC16" i="20"/>
  <c r="AD16" i="20" s="1"/>
  <c r="AC15" i="20"/>
  <c r="AD15" i="20" s="1"/>
  <c r="AC14" i="20"/>
  <c r="AD14" i="20" s="1"/>
  <c r="AC13" i="20"/>
  <c r="AD13" i="20" s="1"/>
  <c r="AC12" i="20"/>
  <c r="AD12" i="20" s="1"/>
  <c r="AC11" i="20"/>
  <c r="AD11" i="20" s="1"/>
  <c r="AC10" i="20"/>
  <c r="AD10" i="20" s="1"/>
  <c r="AC9" i="20"/>
  <c r="AD9" i="20" s="1"/>
  <c r="AC8" i="20"/>
  <c r="AD8" i="20" s="1"/>
  <c r="AC7" i="20"/>
  <c r="AD7" i="20" s="1"/>
  <c r="M35" i="11"/>
  <c r="M34" i="11"/>
  <c r="M33" i="11"/>
  <c r="M32" i="11"/>
  <c r="M31" i="11"/>
  <c r="M30" i="11"/>
  <c r="M29" i="11"/>
  <c r="M28" i="11"/>
  <c r="M27" i="11"/>
  <c r="M26" i="11"/>
  <c r="M25" i="11"/>
  <c r="M24" i="11"/>
  <c r="N4" i="11"/>
  <c r="N5" i="11"/>
  <c r="N6" i="11"/>
  <c r="N7" i="11"/>
  <c r="N8" i="11"/>
  <c r="N3" i="11"/>
  <c r="M4" i="11"/>
  <c r="M5" i="11"/>
  <c r="M6" i="11"/>
  <c r="M7" i="11"/>
  <c r="M8" i="11"/>
  <c r="M3" i="11"/>
  <c r="E29" i="11"/>
  <c r="E11" i="11"/>
  <c r="N11" i="9"/>
  <c r="J16" i="9"/>
  <c r="E17" i="41" s="1"/>
  <c r="J37" i="9"/>
  <c r="E38" i="41" s="1"/>
  <c r="J36" i="9"/>
  <c r="E37" i="41" s="1"/>
  <c r="J35" i="9"/>
  <c r="E36" i="41" s="1"/>
  <c r="J34" i="9"/>
  <c r="E35" i="41" s="1"/>
  <c r="J33" i="9"/>
  <c r="E34" i="41" s="1"/>
  <c r="J32" i="9"/>
  <c r="E33" i="41" s="1"/>
  <c r="J31" i="9"/>
  <c r="E32" i="41" s="1"/>
  <c r="J30" i="9"/>
  <c r="E31" i="41" s="1"/>
  <c r="J29" i="9"/>
  <c r="E30" i="41" s="1"/>
  <c r="J28" i="9"/>
  <c r="E29" i="41" s="1"/>
  <c r="J27" i="9"/>
  <c r="E28" i="41" s="1"/>
  <c r="J26" i="9"/>
  <c r="E27" i="41" s="1"/>
  <c r="J25" i="9"/>
  <c r="E26" i="41" s="1"/>
  <c r="J24" i="9"/>
  <c r="E25" i="41" s="1"/>
  <c r="J23" i="9"/>
  <c r="E24" i="41" s="1"/>
  <c r="J22" i="9"/>
  <c r="E23" i="41" s="1"/>
  <c r="J21" i="9"/>
  <c r="E22" i="41" s="1"/>
  <c r="J20" i="9"/>
  <c r="E21" i="41" s="1"/>
  <c r="J19" i="9"/>
  <c r="E20" i="41" s="1"/>
  <c r="J18" i="9"/>
  <c r="E19" i="41" s="1"/>
  <c r="J17" i="9"/>
  <c r="E18" i="41" s="1"/>
  <c r="J15" i="9"/>
  <c r="E16" i="41" s="1"/>
  <c r="J14" i="9"/>
  <c r="E15" i="41" s="1"/>
  <c r="J13" i="9"/>
  <c r="E14" i="41" s="1"/>
  <c r="J12" i="9"/>
  <c r="E13" i="41" s="1"/>
  <c r="J10" i="9"/>
  <c r="E11" i="41" s="1"/>
  <c r="J9" i="9"/>
  <c r="E10" i="41" s="1"/>
  <c r="J8" i="9"/>
  <c r="E9" i="41" s="1"/>
  <c r="J7" i="9"/>
  <c r="E8" i="41" s="1"/>
  <c r="J6" i="9"/>
  <c r="E7" i="41" s="1"/>
  <c r="J5" i="9"/>
  <c r="E6" i="41" s="1"/>
  <c r="J4" i="9"/>
  <c r="E5" i="41" s="1"/>
  <c r="J3" i="9"/>
  <c r="E4" i="41" s="1"/>
  <c r="T28" i="9"/>
  <c r="X28" i="9" s="1"/>
  <c r="L28" i="11" s="1"/>
  <c r="T32" i="9"/>
  <c r="X32" i="9" s="1"/>
  <c r="L32" i="11" s="1"/>
  <c r="T34" i="9"/>
  <c r="X34" i="9" s="1"/>
  <c r="L34" i="11" s="1"/>
  <c r="K51" i="13"/>
  <c r="K50" i="13"/>
  <c r="K49" i="13"/>
  <c r="K48" i="13"/>
  <c r="K47" i="13"/>
  <c r="K46" i="13"/>
  <c r="K45" i="13"/>
  <c r="K44" i="13"/>
  <c r="K43" i="13"/>
  <c r="K41" i="13"/>
  <c r="K42" i="13"/>
  <c r="K40" i="13"/>
  <c r="G51" i="13"/>
  <c r="G50" i="13"/>
  <c r="G49" i="13"/>
  <c r="G48" i="13"/>
  <c r="G47" i="13"/>
  <c r="G46" i="13"/>
  <c r="G45" i="13"/>
  <c r="G44" i="13"/>
  <c r="G42" i="13"/>
  <c r="G43" i="13"/>
  <c r="G41" i="13"/>
  <c r="G40" i="13"/>
  <c r="D48" i="13"/>
  <c r="I39" i="11"/>
  <c r="D51" i="13"/>
  <c r="J39" i="11"/>
  <c r="I48" i="5"/>
  <c r="I47" i="5"/>
  <c r="C36" i="9"/>
  <c r="C31" i="9"/>
  <c r="C9" i="9"/>
  <c r="C7" i="9"/>
  <c r="C3" i="9"/>
  <c r="T3" i="9" l="1"/>
  <c r="X3" i="9" s="1"/>
  <c r="T24" i="9"/>
  <c r="X24" i="9" s="1"/>
  <c r="L24" i="11" s="1"/>
  <c r="N36" i="9"/>
  <c r="N22" i="9"/>
  <c r="N13" i="9"/>
  <c r="O15" i="21"/>
  <c r="T27" i="9"/>
  <c r="X27" i="9" s="1"/>
  <c r="L27" i="11" s="1"/>
  <c r="E21" i="11"/>
  <c r="T33" i="9"/>
  <c r="X33" i="9" s="1"/>
  <c r="L33" i="11" s="1"/>
  <c r="E26" i="11"/>
  <c r="I49" i="5"/>
  <c r="N15" i="21"/>
  <c r="N27" i="21" s="1"/>
  <c r="T40" i="19" s="1"/>
  <c r="V15" i="21"/>
  <c r="T4" i="9"/>
  <c r="X4" i="9" s="1"/>
  <c r="L4" i="11" s="1"/>
  <c r="T26" i="9"/>
  <c r="X26" i="9" s="1"/>
  <c r="L26" i="11" s="1"/>
  <c r="N26" i="11" s="1"/>
  <c r="T7" i="9"/>
  <c r="X7" i="9" s="1"/>
  <c r="L7" i="11" s="1"/>
  <c r="J17" i="21"/>
  <c r="V17" i="21"/>
  <c r="W17" i="21"/>
  <c r="X17" i="21"/>
  <c r="T30" i="9"/>
  <c r="X30" i="9" s="1"/>
  <c r="L30" i="11" s="1"/>
  <c r="N18" i="9"/>
  <c r="N37" i="9"/>
  <c r="T31" i="9"/>
  <c r="X31" i="9" s="1"/>
  <c r="L31" i="11" s="1"/>
  <c r="N31" i="11" s="1"/>
  <c r="E7" i="11"/>
  <c r="E31" i="11"/>
  <c r="N14" i="9"/>
  <c r="C38" i="9"/>
  <c r="T29" i="9"/>
  <c r="X29" i="9" s="1"/>
  <c r="L29" i="11" s="1"/>
  <c r="N29" i="11" s="1"/>
  <c r="N17" i="9"/>
  <c r="E33" i="11"/>
  <c r="K17" i="21"/>
  <c r="K38" i="9"/>
  <c r="E14" i="11"/>
  <c r="L17" i="21"/>
  <c r="T17" i="21"/>
  <c r="E5" i="11"/>
  <c r="L38" i="9"/>
  <c r="E17" i="11"/>
  <c r="J15" i="21"/>
  <c r="J27" i="21" s="1"/>
  <c r="P40" i="19" s="1"/>
  <c r="T5" i="9"/>
  <c r="X5" i="9" s="1"/>
  <c r="L5" i="11" s="1"/>
  <c r="E19" i="11"/>
  <c r="L3" i="11"/>
  <c r="N23" i="9"/>
  <c r="N10" i="9"/>
  <c r="N21" i="9"/>
  <c r="E13" i="11"/>
  <c r="E25" i="11"/>
  <c r="E37" i="11"/>
  <c r="E3" i="11"/>
  <c r="E15" i="11"/>
  <c r="E27" i="11"/>
  <c r="E4" i="11"/>
  <c r="E16" i="11"/>
  <c r="E28" i="11"/>
  <c r="N28" i="11" s="1"/>
  <c r="G17" i="21"/>
  <c r="S17" i="21"/>
  <c r="T6" i="9"/>
  <c r="X6" i="9" s="1"/>
  <c r="L6" i="11" s="1"/>
  <c r="N12" i="9"/>
  <c r="E6" i="11"/>
  <c r="E18" i="11"/>
  <c r="E30" i="11"/>
  <c r="W15" i="21"/>
  <c r="W14" i="21" s="1"/>
  <c r="K15" i="21"/>
  <c r="K14" i="21" s="1"/>
  <c r="I17" i="21"/>
  <c r="U17" i="21"/>
  <c r="N15" i="9"/>
  <c r="N16" i="9"/>
  <c r="E8" i="11"/>
  <c r="E20" i="11"/>
  <c r="E32" i="11"/>
  <c r="N32" i="11" s="1"/>
  <c r="E10" i="11"/>
  <c r="E22" i="11"/>
  <c r="E34" i="11"/>
  <c r="N34" i="11" s="1"/>
  <c r="S15" i="21"/>
  <c r="G15" i="21"/>
  <c r="T8" i="9"/>
  <c r="X8" i="9" s="1"/>
  <c r="L8" i="11" s="1"/>
  <c r="T35" i="9"/>
  <c r="X35" i="9" s="1"/>
  <c r="L35" i="11" s="1"/>
  <c r="T25" i="9"/>
  <c r="X25" i="9" s="1"/>
  <c r="L25" i="11" s="1"/>
  <c r="N19" i="9"/>
  <c r="E23" i="11"/>
  <c r="E35" i="11"/>
  <c r="R15" i="21"/>
  <c r="R14" i="21" s="1"/>
  <c r="E9" i="11"/>
  <c r="J38" i="9"/>
  <c r="H51" i="13"/>
  <c r="L51" i="13"/>
  <c r="N9" i="9"/>
  <c r="N20" i="9"/>
  <c r="E12" i="11"/>
  <c r="E24" i="11"/>
  <c r="N24" i="11" s="1"/>
  <c r="E36" i="11"/>
  <c r="F15" i="21"/>
  <c r="F27" i="21" s="1"/>
  <c r="L40" i="19" s="1"/>
  <c r="X15" i="21"/>
  <c r="T15" i="21"/>
  <c r="T14" i="21" s="1"/>
  <c r="P15" i="21"/>
  <c r="P27" i="21" s="1"/>
  <c r="V40" i="19" s="1"/>
  <c r="L15" i="21"/>
  <c r="L27" i="21" s="1"/>
  <c r="R40" i="19" s="1"/>
  <c r="H15" i="21"/>
  <c r="H27" i="21" s="1"/>
  <c r="N40" i="19" s="1"/>
  <c r="U15" i="21"/>
  <c r="Q15" i="21"/>
  <c r="Q27" i="21" s="1"/>
  <c r="W40" i="19" s="1"/>
  <c r="M15" i="21"/>
  <c r="M27" i="21" s="1"/>
  <c r="S40" i="19" s="1"/>
  <c r="I15" i="21"/>
  <c r="X26" i="21"/>
  <c r="T26" i="21"/>
  <c r="P26" i="21"/>
  <c r="O27" i="21"/>
  <c r="U40" i="19" s="1"/>
  <c r="V27" i="21"/>
  <c r="AB40" i="19" s="1"/>
  <c r="H57" i="27"/>
  <c r="L57" i="27"/>
  <c r="P57" i="27"/>
  <c r="T57" i="27"/>
  <c r="X57" i="27"/>
  <c r="M57" i="27"/>
  <c r="Q57" i="27"/>
  <c r="U57" i="27"/>
  <c r="E57" i="27"/>
  <c r="F57" i="27"/>
  <c r="J57" i="27"/>
  <c r="N57" i="27"/>
  <c r="R57" i="27"/>
  <c r="V57" i="27"/>
  <c r="G57" i="27"/>
  <c r="K57" i="27"/>
  <c r="S57" i="27"/>
  <c r="W57" i="27"/>
  <c r="I57" i="27"/>
  <c r="O57" i="27"/>
  <c r="G56" i="27"/>
  <c r="K56" i="27"/>
  <c r="O56" i="27"/>
  <c r="S56" i="27"/>
  <c r="W56" i="27"/>
  <c r="I56" i="27"/>
  <c r="M56" i="27"/>
  <c r="Q56" i="27"/>
  <c r="U56" i="27"/>
  <c r="F56" i="27"/>
  <c r="J56" i="27"/>
  <c r="N56" i="27"/>
  <c r="R56" i="27"/>
  <c r="H56" i="27"/>
  <c r="L56" i="27"/>
  <c r="P56" i="27"/>
  <c r="T56" i="27"/>
  <c r="X56" i="27"/>
  <c r="V56" i="27"/>
  <c r="I27" i="21"/>
  <c r="O40" i="19" s="1"/>
  <c r="E27" i="21"/>
  <c r="K40" i="19" s="1"/>
  <c r="F26" i="21"/>
  <c r="J26" i="21"/>
  <c r="K26" i="21"/>
  <c r="I26" i="21"/>
  <c r="V26" i="21"/>
  <c r="R26" i="21"/>
  <c r="N26" i="21"/>
  <c r="U26" i="21"/>
  <c r="Q26" i="21"/>
  <c r="M26" i="21"/>
  <c r="H26" i="21"/>
  <c r="L26" i="21"/>
  <c r="W26" i="21"/>
  <c r="S26" i="21"/>
  <c r="O26" i="21"/>
  <c r="G26" i="21"/>
  <c r="P21" i="37"/>
  <c r="Y36" i="22"/>
  <c r="U36" i="22"/>
  <c r="Q36" i="22"/>
  <c r="M36" i="22"/>
  <c r="I36" i="22"/>
  <c r="W36" i="22"/>
  <c r="O36" i="22"/>
  <c r="V36" i="22"/>
  <c r="N36" i="22"/>
  <c r="G36" i="22"/>
  <c r="X36" i="22"/>
  <c r="T36" i="22"/>
  <c r="P36" i="22"/>
  <c r="L36" i="22"/>
  <c r="H36" i="22"/>
  <c r="S36" i="22"/>
  <c r="K36" i="22"/>
  <c r="Z36" i="22"/>
  <c r="R36" i="22"/>
  <c r="J36" i="22"/>
  <c r="Z37" i="22"/>
  <c r="V37" i="22"/>
  <c r="R37" i="22"/>
  <c r="N37" i="22"/>
  <c r="J37" i="22"/>
  <c r="T37" i="22"/>
  <c r="L37" i="22"/>
  <c r="G37" i="22"/>
  <c r="S37" i="22"/>
  <c r="K37" i="22"/>
  <c r="Y37" i="22"/>
  <c r="U37" i="22"/>
  <c r="Q37" i="22"/>
  <c r="M37" i="22"/>
  <c r="I37" i="22"/>
  <c r="X37" i="22"/>
  <c r="P37" i="22"/>
  <c r="H37" i="22"/>
  <c r="W37" i="22"/>
  <c r="O37" i="22"/>
  <c r="C5" i="10"/>
  <c r="P11" i="9" s="1"/>
  <c r="E26" i="21"/>
  <c r="C11" i="10"/>
  <c r="I32" i="32"/>
  <c r="C6" i="10"/>
  <c r="P16" i="9" s="1"/>
  <c r="M39" i="11"/>
  <c r="G3" i="19" s="1"/>
  <c r="I11" i="39"/>
  <c r="M11" i="39"/>
  <c r="Q11" i="39"/>
  <c r="U11" i="39"/>
  <c r="Y11" i="39"/>
  <c r="N11" i="39"/>
  <c r="V11" i="39"/>
  <c r="G11" i="39"/>
  <c r="T11" i="39"/>
  <c r="J11" i="39"/>
  <c r="R11" i="39"/>
  <c r="Z11" i="39"/>
  <c r="L11" i="39"/>
  <c r="X11" i="39"/>
  <c r="K11" i="39"/>
  <c r="O11" i="39"/>
  <c r="S11" i="39"/>
  <c r="W11" i="39"/>
  <c r="H11" i="39"/>
  <c r="P11" i="39"/>
  <c r="F69" i="29"/>
  <c r="I36" i="35"/>
  <c r="J36" i="35"/>
  <c r="N36" i="35"/>
  <c r="R36" i="35"/>
  <c r="V36" i="35"/>
  <c r="Z36" i="35"/>
  <c r="O36" i="35"/>
  <c r="S36" i="35"/>
  <c r="W36" i="35"/>
  <c r="G36" i="35"/>
  <c r="H36" i="35"/>
  <c r="L36" i="35"/>
  <c r="P36" i="35"/>
  <c r="T36" i="35"/>
  <c r="X36" i="35"/>
  <c r="M36" i="35"/>
  <c r="Q36" i="35"/>
  <c r="U36" i="35"/>
  <c r="Y36" i="35"/>
  <c r="K36" i="35"/>
  <c r="H21" i="26"/>
  <c r="T21" i="37"/>
  <c r="N21" i="31"/>
  <c r="I10" i="39"/>
  <c r="M10" i="39"/>
  <c r="Q10" i="39"/>
  <c r="U10" i="39"/>
  <c r="Y10" i="39"/>
  <c r="H10" i="39"/>
  <c r="T10" i="39"/>
  <c r="J10" i="39"/>
  <c r="N10" i="39"/>
  <c r="R10" i="39"/>
  <c r="V10" i="39"/>
  <c r="Z10" i="39"/>
  <c r="L10" i="39"/>
  <c r="X10" i="39"/>
  <c r="K10" i="39"/>
  <c r="O10" i="39"/>
  <c r="S10" i="39"/>
  <c r="W10" i="39"/>
  <c r="G10" i="39"/>
  <c r="P10" i="39"/>
  <c r="P20" i="37"/>
  <c r="I35" i="35"/>
  <c r="M35" i="35"/>
  <c r="Q35" i="35"/>
  <c r="U35" i="35"/>
  <c r="Y35" i="35"/>
  <c r="S35" i="35"/>
  <c r="L35" i="35"/>
  <c r="X35" i="35"/>
  <c r="J35" i="35"/>
  <c r="N35" i="35"/>
  <c r="R35" i="35"/>
  <c r="V35" i="35"/>
  <c r="Z35" i="35"/>
  <c r="W35" i="35"/>
  <c r="H35" i="35"/>
  <c r="T35" i="35"/>
  <c r="K35" i="35"/>
  <c r="O35" i="35"/>
  <c r="G35" i="35"/>
  <c r="P35" i="35"/>
  <c r="T20" i="37"/>
  <c r="F68" i="29"/>
  <c r="H49" i="13"/>
  <c r="L49" i="13"/>
  <c r="H48" i="13"/>
  <c r="L48" i="13"/>
  <c r="R32" i="32"/>
  <c r="Y32" i="32"/>
  <c r="T9" i="21"/>
  <c r="C7" i="10" s="1"/>
  <c r="M20" i="21"/>
  <c r="X20" i="21"/>
  <c r="T20" i="21"/>
  <c r="P20" i="21"/>
  <c r="L20" i="21"/>
  <c r="S20" i="21"/>
  <c r="O20" i="21"/>
  <c r="K20" i="21"/>
  <c r="U20" i="21"/>
  <c r="Q20" i="21"/>
  <c r="V14" i="21"/>
  <c r="O14" i="21"/>
  <c r="V20" i="21"/>
  <c r="R20" i="21"/>
  <c r="N20" i="21"/>
  <c r="J20" i="21"/>
  <c r="K28" i="34"/>
  <c r="E21" i="36"/>
  <c r="I21" i="36"/>
  <c r="M21" i="36"/>
  <c r="Q21" i="36"/>
  <c r="U21" i="36"/>
  <c r="K21" i="36"/>
  <c r="W21" i="36"/>
  <c r="L21" i="36"/>
  <c r="X21" i="36"/>
  <c r="F21" i="36"/>
  <c r="J21" i="36"/>
  <c r="N21" i="36"/>
  <c r="R21" i="36"/>
  <c r="V21" i="36"/>
  <c r="G21" i="36"/>
  <c r="S21" i="36"/>
  <c r="P21" i="36"/>
  <c r="O21" i="36"/>
  <c r="H21" i="36"/>
  <c r="T21" i="36"/>
  <c r="AR69" i="29"/>
  <c r="L21" i="37"/>
  <c r="W32" i="32"/>
  <c r="X25" i="38"/>
  <c r="X21" i="37"/>
  <c r="H21" i="37"/>
  <c r="L32" i="32"/>
  <c r="R21" i="26"/>
  <c r="E21" i="37"/>
  <c r="L20" i="31"/>
  <c r="S20" i="31"/>
  <c r="H20" i="36"/>
  <c r="L20" i="36"/>
  <c r="P20" i="36"/>
  <c r="T20" i="36"/>
  <c r="X20" i="36"/>
  <c r="K20" i="36"/>
  <c r="S20" i="36"/>
  <c r="E20" i="36"/>
  <c r="I20" i="36"/>
  <c r="M20" i="36"/>
  <c r="Q20" i="36"/>
  <c r="U20" i="36"/>
  <c r="G20" i="36"/>
  <c r="O20" i="36"/>
  <c r="W20" i="36"/>
  <c r="F20" i="36"/>
  <c r="J20" i="36"/>
  <c r="N20" i="36"/>
  <c r="R20" i="36"/>
  <c r="V20" i="36"/>
  <c r="L20" i="37"/>
  <c r="E20" i="37"/>
  <c r="I20" i="24"/>
  <c r="X20" i="37"/>
  <c r="H20" i="37"/>
  <c r="V20" i="24"/>
  <c r="AL68" i="29"/>
  <c r="R31" i="32"/>
  <c r="P20" i="24"/>
  <c r="Y21" i="24"/>
  <c r="L21" i="24"/>
  <c r="M21" i="24"/>
  <c r="G66" i="25"/>
  <c r="I66" i="25"/>
  <c r="T66" i="25"/>
  <c r="Q67" i="25"/>
  <c r="J67" i="25"/>
  <c r="W21" i="37"/>
  <c r="S21" i="37"/>
  <c r="O21" i="37"/>
  <c r="K21" i="37"/>
  <c r="G21" i="37"/>
  <c r="W20" i="37"/>
  <c r="S20" i="37"/>
  <c r="O20" i="37"/>
  <c r="K20" i="37"/>
  <c r="G20" i="37"/>
  <c r="Y97" i="28"/>
  <c r="E20" i="31"/>
  <c r="J15" i="33"/>
  <c r="X20" i="31"/>
  <c r="H20" i="31"/>
  <c r="O20" i="31"/>
  <c r="I20" i="31"/>
  <c r="J20" i="31"/>
  <c r="T20" i="31"/>
  <c r="U20" i="31"/>
  <c r="K20" i="31"/>
  <c r="V20" i="31"/>
  <c r="F20" i="31"/>
  <c r="P20" i="31"/>
  <c r="W20" i="31"/>
  <c r="G20" i="31"/>
  <c r="R20" i="31"/>
  <c r="M20" i="31"/>
  <c r="R21" i="37"/>
  <c r="J21" i="37"/>
  <c r="V20" i="37"/>
  <c r="R20" i="37"/>
  <c r="N20" i="37"/>
  <c r="J20" i="37"/>
  <c r="F20" i="37"/>
  <c r="S21" i="24"/>
  <c r="Z21" i="24"/>
  <c r="J20" i="24"/>
  <c r="N20" i="31"/>
  <c r="L31" i="32"/>
  <c r="R27" i="34"/>
  <c r="V21" i="37"/>
  <c r="N21" i="37"/>
  <c r="F21" i="37"/>
  <c r="U21" i="37"/>
  <c r="Q21" i="37"/>
  <c r="M21" i="37"/>
  <c r="I21" i="37"/>
  <c r="U20" i="37"/>
  <c r="Q20" i="37"/>
  <c r="M20" i="37"/>
  <c r="I20" i="37"/>
  <c r="O20" i="24"/>
  <c r="V21" i="24"/>
  <c r="Y20" i="24"/>
  <c r="Z67" i="25"/>
  <c r="Q20" i="31"/>
  <c r="N98" i="28"/>
  <c r="L69" i="29"/>
  <c r="P69" i="29"/>
  <c r="V69" i="29"/>
  <c r="L21" i="31"/>
  <c r="E21" i="31"/>
  <c r="S21" i="31"/>
  <c r="Q21" i="31"/>
  <c r="N32" i="32"/>
  <c r="T32" i="32"/>
  <c r="U32" i="32"/>
  <c r="S32" i="32"/>
  <c r="Z32" i="32"/>
  <c r="J32" i="32"/>
  <c r="P32" i="32"/>
  <c r="Q32" i="32"/>
  <c r="O32" i="32"/>
  <c r="K32" i="32"/>
  <c r="V32" i="32"/>
  <c r="M32" i="32"/>
  <c r="H32" i="32"/>
  <c r="X32" i="32"/>
  <c r="G32" i="32"/>
  <c r="T25" i="38"/>
  <c r="J20" i="26"/>
  <c r="X21" i="26"/>
  <c r="W25" i="38"/>
  <c r="K24" i="38"/>
  <c r="H25" i="38"/>
  <c r="AF14" i="33"/>
  <c r="T25" i="20"/>
  <c r="T16" i="23"/>
  <c r="O16" i="23"/>
  <c r="Y16" i="23"/>
  <c r="P16" i="23"/>
  <c r="K16" i="23"/>
  <c r="J16" i="23"/>
  <c r="M16" i="23"/>
  <c r="R16" i="23"/>
  <c r="N16" i="23"/>
  <c r="I16" i="23"/>
  <c r="G25" i="20"/>
  <c r="U25" i="20"/>
  <c r="Z25" i="20"/>
  <c r="P25" i="20"/>
  <c r="J25" i="20"/>
  <c r="Y17" i="23"/>
  <c r="G17" i="23"/>
  <c r="J17" i="23"/>
  <c r="P17" i="23"/>
  <c r="V17" i="23"/>
  <c r="U17" i="23"/>
  <c r="O17" i="23"/>
  <c r="R17" i="23"/>
  <c r="T17" i="23"/>
  <c r="I17" i="23"/>
  <c r="Z17" i="23"/>
  <c r="L17" i="23"/>
  <c r="Q17" i="23"/>
  <c r="S17" i="23"/>
  <c r="H17" i="23"/>
  <c r="X17" i="23"/>
  <c r="M17" i="23"/>
  <c r="W17" i="23"/>
  <c r="N17" i="23"/>
  <c r="W24" i="20"/>
  <c r="P24" i="20"/>
  <c r="I24" i="20"/>
  <c r="Y24" i="20"/>
  <c r="Z24" i="20"/>
  <c r="K24" i="20"/>
  <c r="G24" i="20"/>
  <c r="T24" i="20"/>
  <c r="M24" i="20"/>
  <c r="J24" i="20"/>
  <c r="S24" i="20"/>
  <c r="V24" i="20"/>
  <c r="R24" i="20"/>
  <c r="O24" i="20"/>
  <c r="H24" i="20"/>
  <c r="X24" i="20"/>
  <c r="Q24" i="20"/>
  <c r="N24" i="20"/>
  <c r="L24" i="20"/>
  <c r="U24" i="20"/>
  <c r="H25" i="20"/>
  <c r="V25" i="20"/>
  <c r="W25" i="20"/>
  <c r="Q25" i="20"/>
  <c r="S25" i="20"/>
  <c r="L25" i="20"/>
  <c r="U16" i="23"/>
  <c r="V16" i="23"/>
  <c r="L16" i="23"/>
  <c r="W16" i="23"/>
  <c r="G16" i="23"/>
  <c r="Q16" i="23"/>
  <c r="X16" i="23"/>
  <c r="H16" i="23"/>
  <c r="S16" i="23"/>
  <c r="Z16" i="23"/>
  <c r="K17" i="23"/>
  <c r="P21" i="24"/>
  <c r="J21" i="24"/>
  <c r="S20" i="24"/>
  <c r="M20" i="24"/>
  <c r="Z20" i="24"/>
  <c r="T67" i="25"/>
  <c r="O66" i="25"/>
  <c r="R25" i="20"/>
  <c r="O25" i="20"/>
  <c r="M25" i="20"/>
  <c r="X25" i="20"/>
  <c r="O21" i="24"/>
  <c r="I21" i="24"/>
  <c r="L20" i="24"/>
  <c r="N67" i="25"/>
  <c r="AF15" i="33"/>
  <c r="T15" i="33"/>
  <c r="V15" i="33"/>
  <c r="AP15" i="33"/>
  <c r="AR14" i="33"/>
  <c r="L14" i="33"/>
  <c r="AH14" i="33"/>
  <c r="AD14" i="33"/>
  <c r="X14" i="33"/>
  <c r="AJ14" i="33"/>
  <c r="AL14" i="33"/>
  <c r="Z14" i="33"/>
  <c r="N14" i="33"/>
  <c r="P14" i="33"/>
  <c r="AB14" i="33"/>
  <c r="F14" i="33"/>
  <c r="R14" i="33"/>
  <c r="AN14" i="33"/>
  <c r="H14" i="33"/>
  <c r="T14" i="33"/>
  <c r="V14" i="33"/>
  <c r="AP14" i="33"/>
  <c r="J14" i="33"/>
  <c r="M27" i="34"/>
  <c r="P27" i="34"/>
  <c r="S27" i="34"/>
  <c r="V27" i="34"/>
  <c r="J27" i="34"/>
  <c r="U27" i="34"/>
  <c r="X27" i="34"/>
  <c r="Q27" i="34"/>
  <c r="H27" i="34"/>
  <c r="G27" i="34"/>
  <c r="I27" i="34"/>
  <c r="W27" i="34"/>
  <c r="N27" i="34"/>
  <c r="T27" i="34"/>
  <c r="O27" i="34"/>
  <c r="F27" i="34"/>
  <c r="Y27" i="34"/>
  <c r="L27" i="34"/>
  <c r="K27" i="34"/>
  <c r="P28" i="34"/>
  <c r="V28" i="34"/>
  <c r="Y28" i="34"/>
  <c r="H28" i="34"/>
  <c r="J28" i="34"/>
  <c r="Q28" i="34"/>
  <c r="S28" i="34"/>
  <c r="X28" i="34"/>
  <c r="I28" i="34"/>
  <c r="K25" i="20"/>
  <c r="N25" i="20"/>
  <c r="Y25" i="20"/>
  <c r="I25" i="20"/>
  <c r="R21" i="24"/>
  <c r="U21" i="24"/>
  <c r="X21" i="24"/>
  <c r="H21" i="24"/>
  <c r="K21" i="24"/>
  <c r="N21" i="24"/>
  <c r="Q21" i="24"/>
  <c r="T21" i="24"/>
  <c r="W21" i="24"/>
  <c r="G21" i="24"/>
  <c r="R20" i="24"/>
  <c r="U20" i="24"/>
  <c r="X20" i="24"/>
  <c r="H20" i="24"/>
  <c r="K20" i="24"/>
  <c r="N20" i="24"/>
  <c r="Q20" i="24"/>
  <c r="T20" i="24"/>
  <c r="W20" i="24"/>
  <c r="G20" i="24"/>
  <c r="V66" i="25"/>
  <c r="R66" i="25"/>
  <c r="N66" i="25"/>
  <c r="Y66" i="25"/>
  <c r="Z66" i="25"/>
  <c r="U66" i="25"/>
  <c r="S66" i="25"/>
  <c r="P66" i="25"/>
  <c r="J66" i="25"/>
  <c r="Q66" i="25"/>
  <c r="K66" i="25"/>
  <c r="L66" i="25"/>
  <c r="W66" i="25"/>
  <c r="M66" i="25"/>
  <c r="X66" i="25"/>
  <c r="H66" i="25"/>
  <c r="P67" i="25"/>
  <c r="M67" i="25"/>
  <c r="Z20" i="26"/>
  <c r="P20" i="26"/>
  <c r="Q97" i="28"/>
  <c r="O67" i="25"/>
  <c r="W67" i="25"/>
  <c r="S67" i="25"/>
  <c r="K67" i="25"/>
  <c r="G67" i="25"/>
  <c r="V20" i="26"/>
  <c r="O20" i="26"/>
  <c r="M20" i="26"/>
  <c r="G20" i="26"/>
  <c r="L20" i="26"/>
  <c r="R20" i="26"/>
  <c r="Y20" i="26"/>
  <c r="I20" i="26"/>
  <c r="X20" i="26"/>
  <c r="H20" i="26"/>
  <c r="N20" i="26"/>
  <c r="U20" i="26"/>
  <c r="W20" i="26"/>
  <c r="T20" i="26"/>
  <c r="K20" i="26"/>
  <c r="I97" i="28"/>
  <c r="N31" i="32"/>
  <c r="I31" i="32"/>
  <c r="M31" i="32"/>
  <c r="O31" i="32"/>
  <c r="S31" i="32"/>
  <c r="Z31" i="32"/>
  <c r="J31" i="32"/>
  <c r="P31" i="32"/>
  <c r="X31" i="32"/>
  <c r="G31" i="32"/>
  <c r="K31" i="32"/>
  <c r="V31" i="32"/>
  <c r="U31" i="32"/>
  <c r="H31" i="32"/>
  <c r="T31" i="32"/>
  <c r="W31" i="32"/>
  <c r="V67" i="25"/>
  <c r="Y67" i="25"/>
  <c r="I67" i="25"/>
  <c r="L67" i="25"/>
  <c r="U21" i="26"/>
  <c r="S20" i="26"/>
  <c r="O21" i="26"/>
  <c r="J97" i="28"/>
  <c r="N97" i="28"/>
  <c r="R97" i="28"/>
  <c r="V97" i="28"/>
  <c r="Z97" i="28"/>
  <c r="L97" i="28"/>
  <c r="P97" i="28"/>
  <c r="T97" i="28"/>
  <c r="X97" i="28"/>
  <c r="AB97" i="28"/>
  <c r="K97" i="28"/>
  <c r="S97" i="28"/>
  <c r="AA97" i="28"/>
  <c r="M97" i="28"/>
  <c r="U97" i="28"/>
  <c r="O97" i="28"/>
  <c r="W97" i="28"/>
  <c r="X68" i="29"/>
  <c r="AP69" i="29"/>
  <c r="Y31" i="32"/>
  <c r="V98" i="28"/>
  <c r="AF69" i="29"/>
  <c r="AD69" i="29"/>
  <c r="AL69" i="29"/>
  <c r="T69" i="29"/>
  <c r="X69" i="29"/>
  <c r="R69" i="29"/>
  <c r="AB69" i="29"/>
  <c r="N69" i="29"/>
  <c r="AN69" i="29"/>
  <c r="AH69" i="29"/>
  <c r="AJ69" i="29"/>
  <c r="Z69" i="29"/>
  <c r="H69" i="29"/>
  <c r="AH68" i="29"/>
  <c r="AJ68" i="29"/>
  <c r="T68" i="29"/>
  <c r="V68" i="29"/>
  <c r="L68" i="29"/>
  <c r="H68" i="29"/>
  <c r="AB68" i="29"/>
  <c r="AN68" i="29"/>
  <c r="AP68" i="29"/>
  <c r="AF68" i="29"/>
  <c r="AR68" i="29"/>
  <c r="J68" i="29"/>
  <c r="AD68" i="29"/>
  <c r="R68" i="29"/>
  <c r="Z68" i="29"/>
  <c r="P68" i="29"/>
  <c r="N68" i="29"/>
  <c r="X21" i="31"/>
  <c r="H21" i="31"/>
  <c r="O21" i="31"/>
  <c r="I21" i="31"/>
  <c r="J21" i="31"/>
  <c r="T21" i="31"/>
  <c r="M21" i="31"/>
  <c r="K21" i="31"/>
  <c r="V21" i="31"/>
  <c r="F21" i="31"/>
  <c r="P21" i="31"/>
  <c r="W21" i="31"/>
  <c r="G21" i="31"/>
  <c r="R21" i="31"/>
  <c r="U21" i="31"/>
  <c r="R67" i="25"/>
  <c r="U67" i="25"/>
  <c r="X67" i="25"/>
  <c r="H67" i="25"/>
  <c r="Q20" i="26"/>
  <c r="S21" i="26"/>
  <c r="L21" i="26"/>
  <c r="I21" i="26"/>
  <c r="Y21" i="26"/>
  <c r="V21" i="26"/>
  <c r="Z21" i="26"/>
  <c r="G21" i="26"/>
  <c r="P21" i="26"/>
  <c r="M21" i="26"/>
  <c r="J21" i="26"/>
  <c r="K21" i="26"/>
  <c r="W21" i="26"/>
  <c r="T21" i="26"/>
  <c r="Q21" i="26"/>
  <c r="N21" i="26"/>
  <c r="J69" i="29"/>
  <c r="Q31" i="32"/>
  <c r="AR15" i="33"/>
  <c r="L15" i="33"/>
  <c r="AH15" i="33"/>
  <c r="AL15" i="33"/>
  <c r="X15" i="33"/>
  <c r="AJ15" i="33"/>
  <c r="AD15" i="33"/>
  <c r="Z15" i="33"/>
  <c r="F15" i="33"/>
  <c r="P15" i="33"/>
  <c r="AB15" i="33"/>
  <c r="N15" i="33"/>
  <c r="R15" i="33"/>
  <c r="AN15" i="33"/>
  <c r="H15" i="33"/>
  <c r="W24" i="38"/>
  <c r="G24" i="38"/>
  <c r="S24" i="38"/>
  <c r="O24" i="38"/>
  <c r="K98" i="28"/>
  <c r="O98" i="28"/>
  <c r="S98" i="28"/>
  <c r="W98" i="28"/>
  <c r="AA98" i="28"/>
  <c r="M98" i="28"/>
  <c r="Q98" i="28"/>
  <c r="U98" i="28"/>
  <c r="Y98" i="28"/>
  <c r="I98" i="28"/>
  <c r="AB98" i="28"/>
  <c r="T98" i="28"/>
  <c r="L98" i="28"/>
  <c r="L25" i="38"/>
  <c r="Z98" i="28"/>
  <c r="R98" i="28"/>
  <c r="J98" i="28"/>
  <c r="M28" i="34"/>
  <c r="L28" i="34"/>
  <c r="O28" i="34"/>
  <c r="N28" i="34"/>
  <c r="R28" i="34"/>
  <c r="U28" i="34"/>
  <c r="T28" i="34"/>
  <c r="W28" i="34"/>
  <c r="G28" i="34"/>
  <c r="F28" i="34"/>
  <c r="P25" i="38"/>
  <c r="X98" i="28"/>
  <c r="P98" i="28"/>
  <c r="V24" i="38"/>
  <c r="E24" i="38"/>
  <c r="H24" i="38"/>
  <c r="L24" i="38"/>
  <c r="P24" i="38"/>
  <c r="T24" i="38"/>
  <c r="X24" i="38"/>
  <c r="I25" i="38"/>
  <c r="M25" i="38"/>
  <c r="Q25" i="38"/>
  <c r="U25" i="38"/>
  <c r="E25" i="38"/>
  <c r="I24" i="38"/>
  <c r="M24" i="38"/>
  <c r="Q24" i="38"/>
  <c r="U24" i="38"/>
  <c r="F25" i="38"/>
  <c r="J25" i="38"/>
  <c r="N25" i="38"/>
  <c r="R25" i="38"/>
  <c r="V25" i="38"/>
  <c r="F24" i="38"/>
  <c r="J24" i="38"/>
  <c r="N24" i="38"/>
  <c r="R24" i="38"/>
  <c r="G25" i="38"/>
  <c r="K25" i="38"/>
  <c r="O25" i="38"/>
  <c r="S25" i="38"/>
  <c r="C22" i="10"/>
  <c r="B24" i="21"/>
  <c r="B23" i="21"/>
  <c r="C21" i="10"/>
  <c r="P21" i="9" s="1"/>
  <c r="E20" i="21"/>
  <c r="F20" i="21"/>
  <c r="I20" i="21"/>
  <c r="G20" i="21"/>
  <c r="H20" i="21"/>
  <c r="C20" i="10"/>
  <c r="P20" i="9" s="1"/>
  <c r="B22" i="21"/>
  <c r="C19" i="10"/>
  <c r="B21" i="21"/>
  <c r="W20" i="21"/>
  <c r="B19" i="21"/>
  <c r="C17" i="10"/>
  <c r="C16" i="10"/>
  <c r="D46" i="13" s="1"/>
  <c r="B18" i="21"/>
  <c r="N14" i="21"/>
  <c r="B16" i="21"/>
  <c r="C14" i="10"/>
  <c r="B13" i="21"/>
  <c r="B8" i="21"/>
  <c r="C10" i="10"/>
  <c r="B12" i="21"/>
  <c r="C9" i="10"/>
  <c r="C64" i="27" s="1"/>
  <c r="B11" i="21"/>
  <c r="C8" i="10"/>
  <c r="P13" i="9" s="1"/>
  <c r="B10" i="21"/>
  <c r="X6" i="21"/>
  <c r="P6" i="21"/>
  <c r="L6" i="21"/>
  <c r="G6" i="21"/>
  <c r="K6" i="21"/>
  <c r="H6" i="21"/>
  <c r="V6" i="21"/>
  <c r="R6" i="21"/>
  <c r="N6" i="21"/>
  <c r="J6" i="21"/>
  <c r="W6" i="21"/>
  <c r="O6" i="21"/>
  <c r="F6" i="21"/>
  <c r="U6" i="21"/>
  <c r="Q6" i="21"/>
  <c r="M6" i="21"/>
  <c r="I6" i="21"/>
  <c r="S6" i="21"/>
  <c r="B7" i="21"/>
  <c r="E6" i="21"/>
  <c r="J14" i="21" l="1"/>
  <c r="N30" i="11"/>
  <c r="K27" i="21"/>
  <c r="Q40" i="19" s="1"/>
  <c r="G27" i="21"/>
  <c r="M40" i="19" s="1"/>
  <c r="N27" i="11"/>
  <c r="T27" i="21"/>
  <c r="Z40" i="19" s="1"/>
  <c r="N35" i="11"/>
  <c r="N33" i="11"/>
  <c r="X27" i="21"/>
  <c r="AD40" i="19" s="1"/>
  <c r="N25" i="11"/>
  <c r="U14" i="21"/>
  <c r="S14" i="21"/>
  <c r="S27" i="21"/>
  <c r="Y40" i="19" s="1"/>
  <c r="R27" i="21"/>
  <c r="X40" i="19" s="1"/>
  <c r="W27" i="21"/>
  <c r="AC40" i="19" s="1"/>
  <c r="Y3" i="9"/>
  <c r="Y31" i="9"/>
  <c r="Y7" i="9"/>
  <c r="Q14" i="21"/>
  <c r="U27" i="21"/>
  <c r="AA40" i="19" s="1"/>
  <c r="M14" i="21"/>
  <c r="M25" i="21" s="1"/>
  <c r="M28" i="21" s="1"/>
  <c r="G14" i="13"/>
  <c r="E29" i="13"/>
  <c r="E14" i="13"/>
  <c r="C60" i="27"/>
  <c r="T6" i="21"/>
  <c r="T25" i="21" s="1"/>
  <c r="T28" i="21" s="1"/>
  <c r="B9" i="21"/>
  <c r="B6" i="21" s="1"/>
  <c r="G26" i="13"/>
  <c r="G20" i="13"/>
  <c r="E26" i="13"/>
  <c r="X14" i="21"/>
  <c r="X25" i="21" s="1"/>
  <c r="X28" i="21" s="1"/>
  <c r="P14" i="21"/>
  <c r="P25" i="21" s="1"/>
  <c r="P28" i="21" s="1"/>
  <c r="L14" i="21"/>
  <c r="L25" i="21" s="1"/>
  <c r="L28" i="21" s="1"/>
  <c r="G14" i="21"/>
  <c r="G25" i="21" s="1"/>
  <c r="G28" i="21" s="1"/>
  <c r="E14" i="21"/>
  <c r="E25" i="21" s="1"/>
  <c r="E28" i="21" s="1"/>
  <c r="I14" i="21"/>
  <c r="I25" i="21" s="1"/>
  <c r="I28" i="21" s="1"/>
  <c r="H14" i="21"/>
  <c r="H25" i="21" s="1"/>
  <c r="H28" i="21" s="1"/>
  <c r="Q25" i="21"/>
  <c r="Q28" i="21" s="1"/>
  <c r="K25" i="21"/>
  <c r="K28" i="21" s="1"/>
  <c r="O25" i="21"/>
  <c r="O28" i="21" s="1"/>
  <c r="U25" i="21"/>
  <c r="U28" i="21" s="1"/>
  <c r="C66" i="27"/>
  <c r="C62" i="27"/>
  <c r="P14" i="9"/>
  <c r="D42" i="13"/>
  <c r="L42" i="13" s="1"/>
  <c r="D41" i="13"/>
  <c r="L41" i="13" s="1"/>
  <c r="P12" i="9"/>
  <c r="J25" i="21"/>
  <c r="J28" i="21" s="1"/>
  <c r="R25" i="21"/>
  <c r="R28" i="21" s="1"/>
  <c r="G23" i="13"/>
  <c r="G27" i="13"/>
  <c r="E24" i="13"/>
  <c r="E12" i="13"/>
  <c r="E27" i="13"/>
  <c r="G21" i="13"/>
  <c r="E13" i="13"/>
  <c r="E17" i="13"/>
  <c r="E16" i="13"/>
  <c r="G16" i="13"/>
  <c r="E23" i="13"/>
  <c r="G29" i="13"/>
  <c r="G15" i="13"/>
  <c r="G12" i="13"/>
  <c r="E21" i="13"/>
  <c r="E28" i="13"/>
  <c r="G22" i="13"/>
  <c r="G13" i="13"/>
  <c r="G17" i="13"/>
  <c r="E22" i="13"/>
  <c r="E20" i="13"/>
  <c r="G24" i="13"/>
  <c r="G28" i="13"/>
  <c r="G18" i="13"/>
  <c r="E15" i="13"/>
  <c r="E18" i="13"/>
  <c r="N25" i="21"/>
  <c r="N28" i="21" s="1"/>
  <c r="P19" i="9"/>
  <c r="D40" i="13"/>
  <c r="L40" i="13" s="1"/>
  <c r="V25" i="21"/>
  <c r="V28" i="21" s="1"/>
  <c r="C4" i="10"/>
  <c r="B20" i="21"/>
  <c r="P22" i="9"/>
  <c r="D50" i="13"/>
  <c r="W25" i="21"/>
  <c r="W28" i="21" s="1"/>
  <c r="C18" i="10"/>
  <c r="D47" i="13"/>
  <c r="P18" i="9"/>
  <c r="P37" i="9"/>
  <c r="P17" i="9"/>
  <c r="L46" i="13"/>
  <c r="H46" i="13"/>
  <c r="C15" i="10"/>
  <c r="D45" i="13" s="1"/>
  <c r="B17" i="21"/>
  <c r="F14" i="21"/>
  <c r="F25" i="21" s="1"/>
  <c r="F28" i="21" s="1"/>
  <c r="S25" i="21"/>
  <c r="S28" i="21" s="1"/>
  <c r="B15" i="21"/>
  <c r="C13" i="10"/>
  <c r="D44" i="13" s="1"/>
  <c r="D43" i="13"/>
  <c r="P15" i="9"/>
  <c r="N39" i="11" l="1"/>
  <c r="G9" i="19" s="1"/>
  <c r="G5" i="10"/>
  <c r="H42" i="13"/>
  <c r="G25" i="13"/>
  <c r="E25" i="13"/>
  <c r="P23" i="9"/>
  <c r="E19" i="13"/>
  <c r="H41" i="13"/>
  <c r="H40" i="13"/>
  <c r="E11" i="13"/>
  <c r="G19" i="13"/>
  <c r="G11" i="13"/>
  <c r="P9" i="9"/>
  <c r="P10" i="9" s="1"/>
  <c r="C12" i="10"/>
  <c r="C23" i="10" s="1"/>
  <c r="E24" i="10" s="1"/>
  <c r="B14" i="21"/>
  <c r="H50" i="13"/>
  <c r="L50" i="13"/>
  <c r="L47" i="13"/>
  <c r="H47" i="13"/>
  <c r="E30" i="21"/>
  <c r="D52" i="13"/>
  <c r="L45" i="13"/>
  <c r="H45" i="13"/>
  <c r="L44" i="13"/>
  <c r="H44" i="13"/>
  <c r="L43" i="13"/>
  <c r="H43" i="13"/>
  <c r="P36" i="9" l="1"/>
  <c r="E30" i="13"/>
  <c r="G30" i="13"/>
  <c r="H52" i="13"/>
  <c r="H53" i="13" s="1"/>
  <c r="I4" i="13" s="1"/>
  <c r="L52" i="13"/>
  <c r="L53" i="13" s="1"/>
  <c r="P4" i="13" s="1"/>
  <c r="D12" i="10" l="1"/>
  <c r="E31" i="13"/>
  <c r="E32" i="13" s="1"/>
  <c r="E34" i="13" s="1"/>
  <c r="D4" i="10"/>
  <c r="R12" i="9"/>
  <c r="D7" i="10"/>
  <c r="D16" i="10"/>
  <c r="R15" i="9"/>
  <c r="R11" i="9"/>
  <c r="R18" i="9"/>
  <c r="D19" i="10"/>
  <c r="D13" i="10"/>
  <c r="R22" i="9"/>
  <c r="D14" i="10"/>
  <c r="R17" i="9"/>
  <c r="D5" i="10"/>
  <c r="R13" i="9"/>
  <c r="D21" i="10"/>
  <c r="D15" i="10"/>
  <c r="R36" i="9"/>
  <c r="D20" i="10"/>
  <c r="D9" i="10"/>
  <c r="D17" i="10"/>
  <c r="R10" i="9"/>
  <c r="D10" i="10"/>
  <c r="R19" i="9"/>
  <c r="D22" i="10"/>
  <c r="R37" i="9"/>
  <c r="R14" i="9"/>
  <c r="D8" i="10"/>
  <c r="R20" i="9"/>
  <c r="R16" i="9"/>
  <c r="D11" i="10"/>
  <c r="D6" i="10"/>
  <c r="R21" i="9"/>
  <c r="R9" i="9"/>
  <c r="R23" i="9"/>
  <c r="D18" i="10"/>
  <c r="G36" i="13"/>
  <c r="P3" i="13" s="1"/>
  <c r="E36" i="13"/>
  <c r="I3" i="13" s="1"/>
  <c r="E16" i="10" l="1"/>
  <c r="G16" i="43" s="1"/>
  <c r="E9" i="10"/>
  <c r="G9" i="43" s="1"/>
  <c r="E15" i="10"/>
  <c r="G15" i="43" s="1"/>
  <c r="E13" i="10"/>
  <c r="G13" i="43" s="1"/>
  <c r="E8" i="10"/>
  <c r="G8" i="43" s="1"/>
  <c r="E22" i="10"/>
  <c r="G22" i="43" s="1"/>
  <c r="E19" i="10"/>
  <c r="G19" i="43" s="1"/>
  <c r="E10" i="10"/>
  <c r="G10" i="43" s="1"/>
  <c r="E6" i="10"/>
  <c r="G6" i="43" s="1"/>
  <c r="E7" i="10"/>
  <c r="G7" i="43" s="1"/>
  <c r="E17" i="10"/>
  <c r="G17" i="43" s="1"/>
  <c r="G11" i="10"/>
  <c r="G14" i="10"/>
  <c r="G21" i="10"/>
  <c r="G20" i="10"/>
  <c r="G26" i="43"/>
  <c r="E5" i="10"/>
  <c r="G5" i="43" s="1"/>
  <c r="G31" i="13"/>
  <c r="G32" i="13" s="1"/>
  <c r="G34" i="13" s="1"/>
  <c r="C25" i="10"/>
  <c r="C27" i="10" s="1"/>
  <c r="G24" i="10"/>
  <c r="V3" i="9" l="1"/>
  <c r="I5" i="13" s="1"/>
  <c r="T17" i="9" l="1"/>
  <c r="T19" i="9"/>
  <c r="T9" i="9"/>
  <c r="T10" i="9"/>
  <c r="T22" i="9"/>
  <c r="T15" i="9"/>
  <c r="T21" i="9"/>
  <c r="T13" i="9"/>
  <c r="T36" i="9"/>
  <c r="P5" i="13"/>
  <c r="I6" i="13" s="1"/>
  <c r="G5" i="19" s="1"/>
  <c r="T37" i="9"/>
  <c r="T20" i="9"/>
  <c r="T16" i="9"/>
  <c r="T18" i="9"/>
  <c r="T12" i="9"/>
  <c r="T23" i="9"/>
  <c r="T14" i="9"/>
  <c r="T11" i="9"/>
  <c r="P6" i="13" l="1"/>
  <c r="G11" i="19" s="1"/>
  <c r="X10" i="9"/>
  <c r="L10" i="11" s="1"/>
  <c r="M10" i="11" s="1"/>
  <c r="X13" i="9"/>
  <c r="L13" i="11" s="1"/>
  <c r="M13" i="11" s="1"/>
  <c r="X21" i="9"/>
  <c r="L21" i="11" s="1"/>
  <c r="M21" i="11" s="1"/>
  <c r="X19" i="9"/>
  <c r="L19" i="11" s="1"/>
  <c r="N19" i="11" s="1"/>
  <c r="X15" i="9"/>
  <c r="L15" i="11" s="1"/>
  <c r="N15" i="11" s="1"/>
  <c r="X23" i="9"/>
  <c r="L23" i="11" s="1"/>
  <c r="M23" i="11" s="1"/>
  <c r="X20" i="9"/>
  <c r="L20" i="11" s="1"/>
  <c r="M20" i="11" s="1"/>
  <c r="X12" i="9"/>
  <c r="L12" i="11" s="1"/>
  <c r="N12" i="11" s="1"/>
  <c r="X16" i="9"/>
  <c r="L16" i="11" s="1"/>
  <c r="N16" i="11" s="1"/>
  <c r="X11" i="9"/>
  <c r="L11" i="11" s="1"/>
  <c r="M11" i="11" s="1"/>
  <c r="X9" i="9"/>
  <c r="L9" i="11" s="1"/>
  <c r="N9" i="11" s="1"/>
  <c r="X22" i="9"/>
  <c r="L22" i="11" s="1"/>
  <c r="N22" i="11" s="1"/>
  <c r="X37" i="9"/>
  <c r="L37" i="11" s="1"/>
  <c r="M37" i="11" s="1"/>
  <c r="X36" i="9"/>
  <c r="L36" i="11" s="1"/>
  <c r="M36" i="11" s="1"/>
  <c r="X14" i="9"/>
  <c r="L14" i="11" s="1"/>
  <c r="N14" i="11" s="1"/>
  <c r="X18" i="9"/>
  <c r="L18" i="11" s="1"/>
  <c r="M18" i="11" s="1"/>
  <c r="X17" i="9"/>
  <c r="L17" i="11" s="1"/>
  <c r="N17" i="11" s="1"/>
  <c r="N21" i="11" l="1"/>
  <c r="N10" i="11"/>
  <c r="M12" i="11"/>
  <c r="N18" i="11"/>
  <c r="M15" i="11"/>
  <c r="M19" i="11"/>
  <c r="N13" i="11"/>
  <c r="M22" i="11"/>
  <c r="M14" i="11"/>
  <c r="N20" i="11"/>
  <c r="N23" i="11"/>
  <c r="N11" i="11"/>
  <c r="N36" i="11"/>
  <c r="M9" i="11"/>
  <c r="M17" i="11"/>
  <c r="N37" i="11"/>
  <c r="Y36" i="9"/>
  <c r="X38" i="9"/>
  <c r="Y9" i="9"/>
  <c r="M16" i="11"/>
  <c r="M40" i="11" l="1"/>
  <c r="G4" i="19" s="1"/>
  <c r="G6" i="19" s="1"/>
  <c r="N40" i="11"/>
  <c r="G10" i="19" s="1"/>
  <c r="G12" i="19" s="1"/>
  <c r="Y38" i="9"/>
  <c r="B15" i="19" l="1"/>
  <c r="G15" i="19"/>
  <c r="G16" i="19"/>
  <c r="B16" i="19"/>
  <c r="D6" i="42" s="1"/>
  <c r="H6" i="42" s="1"/>
  <c r="AD27" i="19" l="1"/>
  <c r="AA11" i="43" s="1"/>
  <c r="Z27" i="19"/>
  <c r="W11" i="43" s="1"/>
  <c r="V27" i="19"/>
  <c r="S11" i="43" s="1"/>
  <c r="R27" i="19"/>
  <c r="O11" i="43" s="1"/>
  <c r="N27" i="19"/>
  <c r="K11" i="43" s="1"/>
  <c r="AC27" i="19"/>
  <c r="Z11" i="43" s="1"/>
  <c r="Y27" i="19"/>
  <c r="V11" i="43" s="1"/>
  <c r="U27" i="19"/>
  <c r="R11" i="43" s="1"/>
  <c r="Q27" i="19"/>
  <c r="N11" i="43" s="1"/>
  <c r="M27" i="19"/>
  <c r="J11" i="43" s="1"/>
  <c r="AB27" i="19"/>
  <c r="Y11" i="43" s="1"/>
  <c r="X27" i="19"/>
  <c r="U11" i="43" s="1"/>
  <c r="T27" i="19"/>
  <c r="Q11" i="43" s="1"/>
  <c r="P27" i="19"/>
  <c r="M11" i="43" s="1"/>
  <c r="L27" i="19"/>
  <c r="I11" i="43" s="1"/>
  <c r="AA27" i="19"/>
  <c r="X11" i="43" s="1"/>
  <c r="W27" i="19"/>
  <c r="T11" i="43" s="1"/>
  <c r="S27" i="19"/>
  <c r="P11" i="43" s="1"/>
  <c r="O27" i="19"/>
  <c r="L11" i="43" s="1"/>
  <c r="K27" i="19"/>
  <c r="AA29" i="19"/>
  <c r="X13" i="43" s="1"/>
  <c r="P29" i="19"/>
  <c r="M13" i="43" s="1"/>
  <c r="AD29" i="19"/>
  <c r="AA13" i="43" s="1"/>
  <c r="S29" i="19"/>
  <c r="P13" i="43" s="1"/>
  <c r="X29" i="19"/>
  <c r="U13" i="43" s="1"/>
  <c r="K29" i="19"/>
  <c r="H13" i="43" s="1"/>
  <c r="O29" i="19"/>
  <c r="L13" i="43" s="1"/>
  <c r="U29" i="19"/>
  <c r="R13" i="43" s="1"/>
  <c r="R29" i="19"/>
  <c r="O13" i="43" s="1"/>
  <c r="L29" i="19"/>
  <c r="I13" i="43" s="1"/>
  <c r="W29" i="19"/>
  <c r="T13" i="43" s="1"/>
  <c r="Y29" i="19"/>
  <c r="V13" i="43" s="1"/>
  <c r="V29" i="19"/>
  <c r="S13" i="43" s="1"/>
  <c r="T29" i="19"/>
  <c r="Q13" i="43" s="1"/>
  <c r="M29" i="19"/>
  <c r="J13" i="43" s="1"/>
  <c r="AC29" i="19"/>
  <c r="Z13" i="43" s="1"/>
  <c r="Z29" i="19"/>
  <c r="W13" i="43" s="1"/>
  <c r="AB29" i="19"/>
  <c r="Y13" i="43" s="1"/>
  <c r="Q29" i="19"/>
  <c r="N13" i="43" s="1"/>
  <c r="N29" i="19"/>
  <c r="K13" i="43" s="1"/>
  <c r="O35" i="19"/>
  <c r="L19" i="43" s="1"/>
  <c r="S35" i="19"/>
  <c r="P19" i="43" s="1"/>
  <c r="W35" i="19"/>
  <c r="T19" i="43" s="1"/>
  <c r="AA35" i="19"/>
  <c r="X19" i="43" s="1"/>
  <c r="L36" i="19"/>
  <c r="I20" i="43" s="1"/>
  <c r="P36" i="19"/>
  <c r="M20" i="43" s="1"/>
  <c r="T36" i="19"/>
  <c r="Q20" i="43" s="1"/>
  <c r="X36" i="19"/>
  <c r="U20" i="43" s="1"/>
  <c r="AB36" i="19"/>
  <c r="Y20" i="43" s="1"/>
  <c r="M37" i="19"/>
  <c r="J21" i="43" s="1"/>
  <c r="Q37" i="19"/>
  <c r="N21" i="43" s="1"/>
  <c r="U37" i="19"/>
  <c r="R21" i="43" s="1"/>
  <c r="Y37" i="19"/>
  <c r="V21" i="43" s="1"/>
  <c r="AC37" i="19"/>
  <c r="Z21" i="43" s="1"/>
  <c r="N38" i="19"/>
  <c r="K22" i="43" s="1"/>
  <c r="R38" i="19"/>
  <c r="O22" i="43" s="1"/>
  <c r="V38" i="19"/>
  <c r="S22" i="43" s="1"/>
  <c r="Z38" i="19"/>
  <c r="W22" i="43" s="1"/>
  <c r="AD38" i="19"/>
  <c r="AA22" i="43" s="1"/>
  <c r="V30" i="19"/>
  <c r="S14" i="43" s="1"/>
  <c r="AD30" i="19"/>
  <c r="AA14" i="43" s="1"/>
  <c r="L30" i="19"/>
  <c r="I14" i="43" s="1"/>
  <c r="M24" i="19"/>
  <c r="J8" i="43" s="1"/>
  <c r="P21" i="19"/>
  <c r="M5" i="43" s="1"/>
  <c r="X21" i="19"/>
  <c r="U5" i="43" s="1"/>
  <c r="O22" i="19"/>
  <c r="L6" i="43" s="1"/>
  <c r="W22" i="19"/>
  <c r="T6" i="43" s="1"/>
  <c r="N23" i="19"/>
  <c r="K7" i="43" s="1"/>
  <c r="V23" i="19"/>
  <c r="S7" i="43" s="1"/>
  <c r="AD23" i="19"/>
  <c r="AA7" i="43" s="1"/>
  <c r="U24" i="19"/>
  <c r="R8" i="43" s="1"/>
  <c r="AC24" i="19"/>
  <c r="Z8" i="43" s="1"/>
  <c r="T25" i="19"/>
  <c r="Q9" i="43" s="1"/>
  <c r="AB25" i="19"/>
  <c r="Y9" i="43" s="1"/>
  <c r="S26" i="19"/>
  <c r="P10" i="43" s="1"/>
  <c r="AA26" i="19"/>
  <c r="X10" i="43" s="1"/>
  <c r="P31" i="19"/>
  <c r="M15" i="43" s="1"/>
  <c r="X31" i="19"/>
  <c r="U15" i="43" s="1"/>
  <c r="O32" i="19"/>
  <c r="L16" i="43" s="1"/>
  <c r="W32" i="19"/>
  <c r="T16" i="43" s="1"/>
  <c r="N33" i="19"/>
  <c r="K17" i="43" s="1"/>
  <c r="V33" i="19"/>
  <c r="S17" i="43" s="1"/>
  <c r="AD33" i="19"/>
  <c r="AA17" i="43" s="1"/>
  <c r="L25" i="19"/>
  <c r="I9" i="43" s="1"/>
  <c r="P22" i="19"/>
  <c r="M6" i="43" s="1"/>
  <c r="O23" i="19"/>
  <c r="L7" i="43" s="1"/>
  <c r="W23" i="19"/>
  <c r="T7" i="43" s="1"/>
  <c r="V24" i="19"/>
  <c r="S8" i="43" s="1"/>
  <c r="AD24" i="19"/>
  <c r="AA8" i="43" s="1"/>
  <c r="AC25" i="19"/>
  <c r="Z9" i="43" s="1"/>
  <c r="AB26" i="19"/>
  <c r="Y10" i="43" s="1"/>
  <c r="Q31" i="19"/>
  <c r="N15" i="43" s="1"/>
  <c r="Y31" i="19"/>
  <c r="V15" i="43" s="1"/>
  <c r="X32" i="19"/>
  <c r="U16" i="43" s="1"/>
  <c r="O33" i="19"/>
  <c r="L17" i="43" s="1"/>
  <c r="M35" i="19"/>
  <c r="J19" i="43" s="1"/>
  <c r="U35" i="19"/>
  <c r="R19" i="43" s="1"/>
  <c r="Y35" i="19"/>
  <c r="V19" i="43" s="1"/>
  <c r="AC35" i="19"/>
  <c r="Z19" i="43" s="1"/>
  <c r="N36" i="19"/>
  <c r="K20" i="43" s="1"/>
  <c r="V36" i="19"/>
  <c r="S20" i="43" s="1"/>
  <c r="Z36" i="19"/>
  <c r="W20" i="43" s="1"/>
  <c r="O37" i="19"/>
  <c r="L21" i="43" s="1"/>
  <c r="W37" i="19"/>
  <c r="T21" i="43" s="1"/>
  <c r="L38" i="19"/>
  <c r="I22" i="43" s="1"/>
  <c r="P38" i="19"/>
  <c r="M22" i="43" s="1"/>
  <c r="T38" i="19"/>
  <c r="Q22" i="43" s="1"/>
  <c r="X38" i="19"/>
  <c r="U22" i="43" s="1"/>
  <c r="K38" i="19"/>
  <c r="R30" i="19"/>
  <c r="O14" i="43" s="1"/>
  <c r="M26" i="19"/>
  <c r="J10" i="43" s="1"/>
  <c r="T21" i="19"/>
  <c r="Q5" i="43" s="1"/>
  <c r="AA22" i="19"/>
  <c r="X6" i="43" s="1"/>
  <c r="Z23" i="19"/>
  <c r="W7" i="43" s="1"/>
  <c r="Y24" i="19"/>
  <c r="V8" i="43" s="1"/>
  <c r="X25" i="19"/>
  <c r="U9" i="43" s="1"/>
  <c r="L35" i="19"/>
  <c r="I19" i="43" s="1"/>
  <c r="P35" i="19"/>
  <c r="M19" i="43" s="1"/>
  <c r="T35" i="19"/>
  <c r="Q19" i="43" s="1"/>
  <c r="X35" i="19"/>
  <c r="U19" i="43" s="1"/>
  <c r="AB35" i="19"/>
  <c r="Y19" i="43" s="1"/>
  <c r="M36" i="19"/>
  <c r="J20" i="43" s="1"/>
  <c r="Q36" i="19"/>
  <c r="N20" i="43" s="1"/>
  <c r="U36" i="19"/>
  <c r="R20" i="43" s="1"/>
  <c r="Y36" i="19"/>
  <c r="V20" i="43" s="1"/>
  <c r="AC36" i="19"/>
  <c r="Z20" i="43" s="1"/>
  <c r="N37" i="19"/>
  <c r="K21" i="43" s="1"/>
  <c r="R37" i="19"/>
  <c r="O21" i="43" s="1"/>
  <c r="V37" i="19"/>
  <c r="S21" i="43" s="1"/>
  <c r="Z37" i="19"/>
  <c r="W21" i="43" s="1"/>
  <c r="AD37" i="19"/>
  <c r="AA21" i="43" s="1"/>
  <c r="O38" i="19"/>
  <c r="L22" i="43" s="1"/>
  <c r="S38" i="19"/>
  <c r="P22" i="43" s="1"/>
  <c r="W38" i="19"/>
  <c r="T22" i="43" s="1"/>
  <c r="AA38" i="19"/>
  <c r="X22" i="43" s="1"/>
  <c r="W30" i="19"/>
  <c r="T14" i="43" s="1"/>
  <c r="O30" i="19"/>
  <c r="L14" i="43" s="1"/>
  <c r="L21" i="19"/>
  <c r="I5" i="43" s="1"/>
  <c r="L31" i="19"/>
  <c r="I15" i="43" s="1"/>
  <c r="Q21" i="19"/>
  <c r="N5" i="43" s="1"/>
  <c r="Y21" i="19"/>
  <c r="V5" i="43" s="1"/>
  <c r="X22" i="19"/>
  <c r="U6" i="43" s="1"/>
  <c r="N24" i="19"/>
  <c r="K8" i="43" s="1"/>
  <c r="U25" i="19"/>
  <c r="R9" i="43" s="1"/>
  <c r="T26" i="19"/>
  <c r="Q10" i="43" s="1"/>
  <c r="P32" i="19"/>
  <c r="M16" i="43" s="1"/>
  <c r="W33" i="19"/>
  <c r="T17" i="43" s="1"/>
  <c r="Q35" i="19"/>
  <c r="N19" i="43" s="1"/>
  <c r="R36" i="19"/>
  <c r="O20" i="43" s="1"/>
  <c r="AD36" i="19"/>
  <c r="AA20" i="43" s="1"/>
  <c r="S37" i="19"/>
  <c r="P21" i="43" s="1"/>
  <c r="AA37" i="19"/>
  <c r="X21" i="43" s="1"/>
  <c r="AB38" i="19"/>
  <c r="Y22" i="43" s="1"/>
  <c r="Z30" i="19"/>
  <c r="W14" i="43" s="1"/>
  <c r="M22" i="19"/>
  <c r="J6" i="43" s="1"/>
  <c r="L33" i="19"/>
  <c r="I17" i="43" s="1"/>
  <c r="AB21" i="19"/>
  <c r="Y5" i="43" s="1"/>
  <c r="S22" i="19"/>
  <c r="P6" i="43" s="1"/>
  <c r="R23" i="19"/>
  <c r="O7" i="43" s="1"/>
  <c r="Q24" i="19"/>
  <c r="N8" i="43" s="1"/>
  <c r="P25" i="19"/>
  <c r="M9" i="43" s="1"/>
  <c r="O26" i="19"/>
  <c r="L10" i="43" s="1"/>
  <c r="W26" i="19"/>
  <c r="T10" i="43" s="1"/>
  <c r="Z35" i="19"/>
  <c r="W19" i="43" s="1"/>
  <c r="W36" i="19"/>
  <c r="T20" i="43" s="1"/>
  <c r="T37" i="19"/>
  <c r="Q21" i="43" s="1"/>
  <c r="Q38" i="19"/>
  <c r="N22" i="43" s="1"/>
  <c r="S30" i="19"/>
  <c r="P14" i="43" s="1"/>
  <c r="T22" i="19"/>
  <c r="Q6" i="43" s="1"/>
  <c r="R24" i="19"/>
  <c r="O8" i="43" s="1"/>
  <c r="P26" i="19"/>
  <c r="M10" i="43" s="1"/>
  <c r="T31" i="19"/>
  <c r="Q15" i="43" s="1"/>
  <c r="S32" i="19"/>
  <c r="P16" i="43" s="1"/>
  <c r="R33" i="19"/>
  <c r="O17" i="43" s="1"/>
  <c r="O36" i="19"/>
  <c r="L20" i="43" s="1"/>
  <c r="AB37" i="19"/>
  <c r="Y21" i="43" s="1"/>
  <c r="M31" i="19"/>
  <c r="J15" i="43" s="1"/>
  <c r="S23" i="19"/>
  <c r="P7" i="43" s="1"/>
  <c r="AB31" i="19"/>
  <c r="Y15" i="43" s="1"/>
  <c r="Z33" i="19"/>
  <c r="W17" i="43" s="1"/>
  <c r="S36" i="19"/>
  <c r="P20" i="43" s="1"/>
  <c r="M38" i="19"/>
  <c r="J22" i="43" s="1"/>
  <c r="L23" i="19"/>
  <c r="I7" i="43" s="1"/>
  <c r="AA23" i="19"/>
  <c r="X7" i="43" s="1"/>
  <c r="AC31" i="19"/>
  <c r="Z15" i="43" s="1"/>
  <c r="AA33" i="19"/>
  <c r="X17" i="43" s="1"/>
  <c r="N35" i="19"/>
  <c r="K19" i="43" s="1"/>
  <c r="AD35" i="19"/>
  <c r="AA19" i="43" s="1"/>
  <c r="AA36" i="19"/>
  <c r="X20" i="43" s="1"/>
  <c r="X37" i="19"/>
  <c r="U21" i="43" s="1"/>
  <c r="U38" i="19"/>
  <c r="R22" i="43" s="1"/>
  <c r="AA30" i="19"/>
  <c r="X14" i="43" s="1"/>
  <c r="M33" i="19"/>
  <c r="J17" i="43" s="1"/>
  <c r="AB22" i="19"/>
  <c r="Y6" i="43" s="1"/>
  <c r="Z24" i="19"/>
  <c r="W8" i="43" s="1"/>
  <c r="X26" i="19"/>
  <c r="U10" i="43" s="1"/>
  <c r="U31" i="19"/>
  <c r="R15" i="43" s="1"/>
  <c r="T32" i="19"/>
  <c r="Q16" i="43" s="1"/>
  <c r="S33" i="19"/>
  <c r="P17" i="43" s="1"/>
  <c r="R35" i="19"/>
  <c r="O19" i="43" s="1"/>
  <c r="L37" i="19"/>
  <c r="I21" i="43" s="1"/>
  <c r="Y38" i="19"/>
  <c r="V22" i="43" s="1"/>
  <c r="U21" i="19"/>
  <c r="R5" i="43" s="1"/>
  <c r="Q25" i="19"/>
  <c r="N9" i="43" s="1"/>
  <c r="AA32" i="19"/>
  <c r="X16" i="43" s="1"/>
  <c r="V35" i="19"/>
  <c r="S19" i="43" s="1"/>
  <c r="P37" i="19"/>
  <c r="M21" i="43" s="1"/>
  <c r="AC38" i="19"/>
  <c r="Z22" i="43" s="1"/>
  <c r="AC21" i="19"/>
  <c r="Z5" i="43" s="1"/>
  <c r="Y25" i="19"/>
  <c r="V9" i="43" s="1"/>
  <c r="AB32" i="19"/>
  <c r="Y16" i="43" s="1"/>
  <c r="AC33" i="19"/>
  <c r="Z17" i="43" s="1"/>
  <c r="AD32" i="19"/>
  <c r="AA16" i="43" s="1"/>
  <c r="N32" i="19"/>
  <c r="K16" i="43" s="1"/>
  <c r="O31" i="19"/>
  <c r="L15" i="43" s="1"/>
  <c r="R26" i="19"/>
  <c r="O10" i="43" s="1"/>
  <c r="S25" i="19"/>
  <c r="P9" i="43" s="1"/>
  <c r="T24" i="19"/>
  <c r="Q8" i="43" s="1"/>
  <c r="U23" i="19"/>
  <c r="R7" i="43" s="1"/>
  <c r="V22" i="19"/>
  <c r="S6" i="43" s="1"/>
  <c r="W21" i="19"/>
  <c r="T5" i="43" s="1"/>
  <c r="M30" i="19"/>
  <c r="J14" i="43" s="1"/>
  <c r="U30" i="19"/>
  <c r="R14" i="43" s="1"/>
  <c r="T33" i="19"/>
  <c r="Q17" i="43" s="1"/>
  <c r="U32" i="19"/>
  <c r="R16" i="43" s="1"/>
  <c r="V31" i="19"/>
  <c r="S15" i="43" s="1"/>
  <c r="Y26" i="19"/>
  <c r="V10" i="43" s="1"/>
  <c r="Z25" i="19"/>
  <c r="W9" i="43" s="1"/>
  <c r="AA24" i="19"/>
  <c r="X8" i="43" s="1"/>
  <c r="AB23" i="19"/>
  <c r="Y7" i="43" s="1"/>
  <c r="AC22" i="19"/>
  <c r="Z6" i="43" s="1"/>
  <c r="AD21" i="19"/>
  <c r="AA5" i="43" s="1"/>
  <c r="N21" i="19"/>
  <c r="K5" i="43" s="1"/>
  <c r="M23" i="19"/>
  <c r="J7" i="43" s="1"/>
  <c r="AB30" i="19"/>
  <c r="Y14" i="43" s="1"/>
  <c r="K30" i="19"/>
  <c r="H14" i="43" s="1"/>
  <c r="U33" i="19"/>
  <c r="R17" i="43" s="1"/>
  <c r="Z26" i="19"/>
  <c r="W10" i="43" s="1"/>
  <c r="AB24" i="19"/>
  <c r="Y8" i="43" s="1"/>
  <c r="AC23" i="19"/>
  <c r="Z7" i="43" s="1"/>
  <c r="N22" i="19"/>
  <c r="K6" i="43" s="1"/>
  <c r="L24" i="19"/>
  <c r="I8" i="43" s="1"/>
  <c r="AB33" i="19"/>
  <c r="Y17" i="43" s="1"/>
  <c r="AD31" i="19"/>
  <c r="AA15" i="43" s="1"/>
  <c r="Q26" i="19"/>
  <c r="N10" i="43" s="1"/>
  <c r="S24" i="19"/>
  <c r="P8" i="43" s="1"/>
  <c r="U22" i="19"/>
  <c r="R6" i="43" s="1"/>
  <c r="T30" i="19"/>
  <c r="Q14" i="43" s="1"/>
  <c r="R32" i="19"/>
  <c r="O16" i="43" s="1"/>
  <c r="V26" i="19"/>
  <c r="S10" i="43" s="1"/>
  <c r="X24" i="19"/>
  <c r="U8" i="43" s="1"/>
  <c r="Z22" i="19"/>
  <c r="W6" i="43" s="1"/>
  <c r="M32" i="19"/>
  <c r="J16" i="43" s="1"/>
  <c r="Y30" i="19"/>
  <c r="V14" i="43" s="1"/>
  <c r="Y32" i="19"/>
  <c r="V16" i="43" s="1"/>
  <c r="Z31" i="19"/>
  <c r="W15" i="43" s="1"/>
  <c r="AC26" i="19"/>
  <c r="Z10" i="43" s="1"/>
  <c r="O24" i="19"/>
  <c r="L8" i="43" s="1"/>
  <c r="P23" i="19"/>
  <c r="M7" i="43" s="1"/>
  <c r="R21" i="19"/>
  <c r="O5" i="43" s="1"/>
  <c r="P30" i="19"/>
  <c r="M14" i="43" s="1"/>
  <c r="Y33" i="19"/>
  <c r="V17" i="43" s="1"/>
  <c r="Z32" i="19"/>
  <c r="W16" i="43" s="1"/>
  <c r="AA31" i="19"/>
  <c r="X15" i="43" s="1"/>
  <c r="AD26" i="19"/>
  <c r="AA10" i="43" s="1"/>
  <c r="N26" i="19"/>
  <c r="K10" i="43" s="1"/>
  <c r="O25" i="19"/>
  <c r="L9" i="43" s="1"/>
  <c r="P24" i="19"/>
  <c r="M8" i="43" s="1"/>
  <c r="Q23" i="19"/>
  <c r="N7" i="43" s="1"/>
  <c r="R22" i="19"/>
  <c r="O6" i="43" s="1"/>
  <c r="S21" i="19"/>
  <c r="P5" i="43" s="1"/>
  <c r="L26" i="19"/>
  <c r="I10" i="43" s="1"/>
  <c r="Q30" i="19"/>
  <c r="N14" i="43" s="1"/>
  <c r="K37" i="19"/>
  <c r="P33" i="19"/>
  <c r="M17" i="43" s="1"/>
  <c r="Q32" i="19"/>
  <c r="N16" i="43" s="1"/>
  <c r="R31" i="19"/>
  <c r="O15" i="43" s="1"/>
  <c r="U26" i="19"/>
  <c r="R10" i="43" s="1"/>
  <c r="V25" i="19"/>
  <c r="S9" i="43" s="1"/>
  <c r="W24" i="19"/>
  <c r="T8" i="43" s="1"/>
  <c r="X23" i="19"/>
  <c r="U7" i="43" s="1"/>
  <c r="Y22" i="19"/>
  <c r="V6" i="43" s="1"/>
  <c r="Z21" i="19"/>
  <c r="W5" i="43" s="1"/>
  <c r="L32" i="19"/>
  <c r="I16" i="43" s="1"/>
  <c r="M21" i="19"/>
  <c r="J5" i="43" s="1"/>
  <c r="X30" i="19"/>
  <c r="U14" i="43" s="1"/>
  <c r="K35" i="19"/>
  <c r="V32" i="19"/>
  <c r="S16" i="43" s="1"/>
  <c r="W31" i="19"/>
  <c r="T15" i="43" s="1"/>
  <c r="AA25" i="19"/>
  <c r="X9" i="43" s="1"/>
  <c r="AD22" i="19"/>
  <c r="AA6" i="43" s="1"/>
  <c r="O21" i="19"/>
  <c r="L5" i="43" s="1"/>
  <c r="AC30" i="19"/>
  <c r="Z14" i="43" s="1"/>
  <c r="AC32" i="19"/>
  <c r="Z16" i="43" s="1"/>
  <c r="N31" i="19"/>
  <c r="K15" i="43" s="1"/>
  <c r="R25" i="19"/>
  <c r="O9" i="43" s="1"/>
  <c r="T23" i="19"/>
  <c r="Q7" i="43" s="1"/>
  <c r="V21" i="19"/>
  <c r="S5" i="43" s="1"/>
  <c r="N30" i="19"/>
  <c r="K14" i="43" s="1"/>
  <c r="Q33" i="19"/>
  <c r="N17" i="43" s="1"/>
  <c r="S31" i="19"/>
  <c r="P15" i="43" s="1"/>
  <c r="W25" i="19"/>
  <c r="T9" i="43" s="1"/>
  <c r="Y23" i="19"/>
  <c r="V7" i="43" s="1"/>
  <c r="AA21" i="19"/>
  <c r="X5" i="43" s="1"/>
  <c r="L22" i="19"/>
  <c r="I6" i="43" s="1"/>
  <c r="X33" i="19"/>
  <c r="U17" i="43" s="1"/>
  <c r="AD25" i="19"/>
  <c r="AA9" i="43" s="1"/>
  <c r="N25" i="19"/>
  <c r="K9" i="43" s="1"/>
  <c r="Q22" i="19"/>
  <c r="N6" i="43" s="1"/>
  <c r="M25" i="19"/>
  <c r="J9" i="43" s="1"/>
  <c r="K36" i="19"/>
  <c r="K26" i="19"/>
  <c r="K22" i="19"/>
  <c r="K32" i="19"/>
  <c r="K23" i="19"/>
  <c r="K24" i="19"/>
  <c r="K25" i="19"/>
  <c r="K31" i="19"/>
  <c r="K33" i="19"/>
  <c r="D5" i="42"/>
  <c r="E5" i="42" s="1"/>
  <c r="K21" i="19"/>
  <c r="C6" i="42"/>
  <c r="F6" i="42"/>
  <c r="G6" i="42"/>
  <c r="D36" i="19"/>
  <c r="D29" i="19"/>
  <c r="D38" i="19"/>
  <c r="D21" i="19"/>
  <c r="D35" i="19"/>
  <c r="D26" i="19"/>
  <c r="D31" i="19"/>
  <c r="D27" i="19"/>
  <c r="E6" i="42"/>
  <c r="D24" i="19"/>
  <c r="D32" i="19"/>
  <c r="D33" i="19"/>
  <c r="D25" i="19"/>
  <c r="D37" i="19"/>
  <c r="D30" i="19"/>
  <c r="D23" i="19"/>
  <c r="D22" i="19"/>
  <c r="C14" i="43" l="1"/>
  <c r="C13" i="43"/>
  <c r="H17" i="43"/>
  <c r="C17" i="43" s="1"/>
  <c r="H15" i="43"/>
  <c r="C15" i="43" s="1"/>
  <c r="H7" i="43"/>
  <c r="C7" i="43" s="1"/>
  <c r="H22" i="43"/>
  <c r="C22" i="43" s="1"/>
  <c r="H8" i="43"/>
  <c r="C8" i="43" s="1"/>
  <c r="H16" i="43"/>
  <c r="C16" i="43" s="1"/>
  <c r="H6" i="43"/>
  <c r="C6" i="43" s="1"/>
  <c r="H11" i="43"/>
  <c r="C11" i="43" s="1"/>
  <c r="H21" i="43"/>
  <c r="C21" i="43" s="1"/>
  <c r="H5" i="43"/>
  <c r="C5" i="43" s="1"/>
  <c r="H10" i="43"/>
  <c r="C10" i="43" s="1"/>
  <c r="H9" i="43"/>
  <c r="C9" i="43" s="1"/>
  <c r="H20" i="43"/>
  <c r="C20" i="43" s="1"/>
  <c r="H19" i="43"/>
  <c r="C19" i="43" s="1"/>
  <c r="AC39" i="19"/>
  <c r="K39" i="19"/>
  <c r="R39" i="19"/>
  <c r="C5" i="42"/>
  <c r="Q39" i="19"/>
  <c r="Z39" i="19"/>
  <c r="V39" i="19"/>
  <c r="Y39" i="19"/>
  <c r="AB39" i="19"/>
  <c r="W39" i="19"/>
  <c r="AD39" i="19"/>
  <c r="S39" i="19"/>
  <c r="M39" i="19"/>
  <c r="G5" i="42"/>
  <c r="H5" i="42"/>
  <c r="F5" i="42"/>
  <c r="AA39" i="19"/>
  <c r="T39" i="19"/>
  <c r="L39" i="19"/>
  <c r="P39" i="19"/>
  <c r="O39" i="19"/>
  <c r="N39" i="19"/>
  <c r="X39" i="19"/>
  <c r="U39" i="19"/>
  <c r="D34" i="19"/>
  <c r="D20" i="19"/>
  <c r="D28" i="19"/>
  <c r="C4" i="43" l="1"/>
  <c r="C18" i="43"/>
  <c r="C12" i="43"/>
  <c r="W41" i="19"/>
  <c r="T25" i="43" s="1"/>
  <c r="T23" i="43"/>
  <c r="Z41" i="19"/>
  <c r="W25" i="43" s="1"/>
  <c r="W23" i="43"/>
  <c r="K41" i="19"/>
  <c r="H23" i="43"/>
  <c r="AA41" i="19"/>
  <c r="X25" i="43" s="1"/>
  <c r="X23" i="43"/>
  <c r="AC41" i="19"/>
  <c r="Z25" i="43" s="1"/>
  <c r="Z23" i="43"/>
  <c r="T41" i="19"/>
  <c r="Q25" i="43" s="1"/>
  <c r="Q23" i="43"/>
  <c r="AB41" i="19"/>
  <c r="Y25" i="43" s="1"/>
  <c r="Y23" i="43"/>
  <c r="Y41" i="19"/>
  <c r="V25" i="43" s="1"/>
  <c r="V23" i="43"/>
  <c r="N41" i="19"/>
  <c r="K25" i="43" s="1"/>
  <c r="K23" i="43"/>
  <c r="O41" i="19"/>
  <c r="L25" i="43" s="1"/>
  <c r="L23" i="43"/>
  <c r="M41" i="19"/>
  <c r="J25" i="43" s="1"/>
  <c r="J23" i="43"/>
  <c r="Q41" i="19"/>
  <c r="N25" i="43" s="1"/>
  <c r="N23" i="43"/>
  <c r="U41" i="19"/>
  <c r="R25" i="43" s="1"/>
  <c r="R23" i="43"/>
  <c r="P41" i="19"/>
  <c r="M25" i="43" s="1"/>
  <c r="M23" i="43"/>
  <c r="S41" i="19"/>
  <c r="P25" i="43" s="1"/>
  <c r="P23" i="43"/>
  <c r="X41" i="19"/>
  <c r="U25" i="43" s="1"/>
  <c r="U23" i="43"/>
  <c r="L41" i="19"/>
  <c r="I25" i="43" s="1"/>
  <c r="I23" i="43"/>
  <c r="AD41" i="19"/>
  <c r="AA25" i="43" s="1"/>
  <c r="AA23" i="43"/>
  <c r="V41" i="19"/>
  <c r="S25" i="43" s="1"/>
  <c r="S23" i="43"/>
  <c r="R41" i="19"/>
  <c r="O25" i="43" s="1"/>
  <c r="O23" i="43"/>
  <c r="D39" i="19"/>
  <c r="H25" i="43" l="1"/>
  <c r="C25" i="43" s="1"/>
  <c r="F20" i="43" s="1"/>
  <c r="D41" i="19"/>
  <c r="C23" i="43"/>
  <c r="D8" i="43" l="1"/>
  <c r="E8" i="43" s="1"/>
  <c r="D13" i="43"/>
  <c r="E13" i="43" s="1"/>
  <c r="D17" i="43"/>
  <c r="E17" i="43" s="1"/>
  <c r="D22" i="43"/>
  <c r="E22" i="43" s="1"/>
  <c r="D5" i="43"/>
  <c r="E5" i="43" s="1"/>
  <c r="D9" i="43"/>
  <c r="E9" i="43" s="1"/>
  <c r="D14" i="43"/>
  <c r="E14" i="43" s="1"/>
  <c r="D19" i="43"/>
  <c r="E19" i="43" s="1"/>
  <c r="D10" i="43"/>
  <c r="E10" i="43" s="1"/>
  <c r="D15" i="43"/>
  <c r="E15" i="43" s="1"/>
  <c r="D20" i="43"/>
  <c r="E20" i="43" s="1"/>
  <c r="D7" i="43"/>
  <c r="E7" i="43" s="1"/>
  <c r="D16" i="43"/>
  <c r="E16" i="43" s="1"/>
  <c r="D21" i="43"/>
  <c r="E21" i="43" s="1"/>
  <c r="D6" i="43"/>
  <c r="E6" i="43" s="1"/>
  <c r="D11" i="43"/>
  <c r="E11" i="43" s="1"/>
  <c r="F13" i="43"/>
  <c r="F10" i="43"/>
  <c r="F9" i="43"/>
  <c r="F4" i="43"/>
  <c r="F12" i="43"/>
  <c r="F6" i="43"/>
  <c r="C26" i="43"/>
  <c r="F7" i="43"/>
  <c r="F21" i="43"/>
  <c r="F22" i="43"/>
  <c r="F11" i="43"/>
  <c r="F17" i="43"/>
  <c r="F14" i="43"/>
  <c r="F5" i="43"/>
  <c r="F19" i="43"/>
  <c r="F15" i="43"/>
  <c r="F8" i="43"/>
  <c r="F16" i="43"/>
  <c r="F18" i="43"/>
  <c r="C27" i="43" l="1"/>
  <c r="C31" i="43" s="1"/>
  <c r="C29" i="4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Buonanno Girolamo</author>
  </authors>
  <commentList>
    <comment ref="I11" authorId="0" shapeId="0" xr:uid="{00000000-0006-0000-1300-000001000000}">
      <text>
        <r>
          <rPr>
            <b/>
            <sz val="9"/>
            <color indexed="81"/>
            <rFont val="Tahoma"/>
            <family val="2"/>
          </rPr>
          <t>Buonanno Girolamo:</t>
        </r>
        <r>
          <rPr>
            <sz val="9"/>
            <color indexed="81"/>
            <rFont val="Tahoma"/>
            <family val="2"/>
          </rPr>
          <t xml:space="preserve">
dato rilevato al sopralluogo</t>
        </r>
      </text>
    </comment>
    <comment ref="I12" authorId="0" shapeId="0" xr:uid="{00000000-0006-0000-1300-000002000000}">
      <text>
        <r>
          <rPr>
            <b/>
            <sz val="9"/>
            <color indexed="81"/>
            <rFont val="Tahoma"/>
            <family val="2"/>
          </rPr>
          <t>Buonanno Girolamo:</t>
        </r>
        <r>
          <rPr>
            <sz val="9"/>
            <color indexed="81"/>
            <rFont val="Tahoma"/>
            <family val="2"/>
          </rPr>
          <t xml:space="preserve">
dato rilevato al sopralluogo</t>
        </r>
      </text>
    </comment>
    <comment ref="I13" authorId="0" shapeId="0" xr:uid="{00000000-0006-0000-1300-000003000000}">
      <text>
        <r>
          <rPr>
            <b/>
            <sz val="9"/>
            <color indexed="81"/>
            <rFont val="Tahoma"/>
            <family val="2"/>
          </rPr>
          <t>Buonanno Girolamo:</t>
        </r>
        <r>
          <rPr>
            <sz val="9"/>
            <color indexed="81"/>
            <rFont val="Tahoma"/>
            <family val="2"/>
          </rPr>
          <t xml:space="preserve">
dato rilevato al sopralluogo (totale-mensa)</t>
        </r>
      </text>
    </comment>
    <comment ref="I18" authorId="0" shapeId="0" xr:uid="{00000000-0006-0000-1300-000004000000}">
      <text>
        <r>
          <rPr>
            <b/>
            <sz val="9"/>
            <color indexed="81"/>
            <rFont val="Tahoma"/>
            <family val="2"/>
          </rPr>
          <t>Buonanno Girolamo:</t>
        </r>
        <r>
          <rPr>
            <sz val="9"/>
            <color indexed="81"/>
            <rFont val="Tahoma"/>
            <family val="2"/>
          </rPr>
          <t xml:space="preserve">
dato rilevato al sopralluogo</t>
        </r>
      </text>
    </comment>
    <comment ref="I27" authorId="0" shapeId="0" xr:uid="{00000000-0006-0000-1300-000005000000}">
      <text>
        <r>
          <rPr>
            <b/>
            <sz val="9"/>
            <color indexed="81"/>
            <rFont val="Tahoma"/>
            <family val="2"/>
          </rPr>
          <t>Buonanno Girolamo:</t>
        </r>
        <r>
          <rPr>
            <sz val="9"/>
            <color indexed="81"/>
            <rFont val="Tahoma"/>
            <family val="2"/>
          </rPr>
          <t xml:space="preserve">
dato rilevato al sopralluogo</t>
        </r>
      </text>
    </comment>
    <comment ref="I30" authorId="0" shapeId="0" xr:uid="{00000000-0006-0000-1300-000006000000}">
      <text>
        <r>
          <rPr>
            <b/>
            <sz val="9"/>
            <color indexed="81"/>
            <rFont val="Tahoma"/>
            <family val="2"/>
          </rPr>
          <t>Buonanno Girolamo:</t>
        </r>
        <r>
          <rPr>
            <sz val="9"/>
            <color indexed="81"/>
            <rFont val="Tahoma"/>
            <family val="2"/>
          </rPr>
          <t xml:space="preserve">
dato rilevato al sopralluogo</t>
        </r>
      </text>
    </comment>
    <comment ref="I32" authorId="0" shapeId="0" xr:uid="{00000000-0006-0000-1300-000007000000}">
      <text>
        <r>
          <rPr>
            <b/>
            <sz val="9"/>
            <color indexed="81"/>
            <rFont val="Tahoma"/>
            <family val="2"/>
          </rPr>
          <t>Buonanno Girolamo:</t>
        </r>
        <r>
          <rPr>
            <sz val="9"/>
            <color indexed="81"/>
            <rFont val="Tahoma"/>
            <family val="2"/>
          </rPr>
          <t xml:space="preserve">
dato rilevato al sopralluogo</t>
        </r>
      </text>
    </comment>
    <comment ref="I35" authorId="0" shapeId="0" xr:uid="{00000000-0006-0000-1300-000008000000}">
      <text>
        <r>
          <rPr>
            <b/>
            <sz val="9"/>
            <color indexed="81"/>
            <rFont val="Tahoma"/>
            <family val="2"/>
          </rPr>
          <t>Buonanno Girolamo:</t>
        </r>
        <r>
          <rPr>
            <sz val="9"/>
            <color indexed="81"/>
            <rFont val="Tahoma"/>
            <family val="2"/>
          </rPr>
          <t xml:space="preserve">
dato rilevato al sopralluogo</t>
        </r>
      </text>
    </comment>
    <comment ref="I58" authorId="0" shapeId="0" xr:uid="{00000000-0006-0000-1300-000009000000}">
      <text>
        <r>
          <rPr>
            <b/>
            <sz val="9"/>
            <color indexed="81"/>
            <rFont val="Tahoma"/>
            <family val="2"/>
          </rPr>
          <t>Buonanno Girolamo:</t>
        </r>
        <r>
          <rPr>
            <sz val="9"/>
            <color indexed="81"/>
            <rFont val="Tahoma"/>
            <family val="2"/>
          </rPr>
          <t xml:space="preserve">
dato rilevato al sopralluogo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Buonanno Girolamo</author>
  </authors>
  <commentList>
    <comment ref="F13" authorId="0" shapeId="0" xr:uid="{00000000-0006-0000-1400-000001000000}">
      <text>
        <r>
          <rPr>
            <b/>
            <sz val="9"/>
            <color indexed="81"/>
            <rFont val="Tahoma"/>
            <family val="2"/>
          </rPr>
          <t>Buonanno Girolamo:</t>
        </r>
        <r>
          <rPr>
            <sz val="9"/>
            <color indexed="81"/>
            <rFont val="Tahoma"/>
            <family val="2"/>
          </rPr>
          <t xml:space="preserve">
dato rilevato al sopralluogo</t>
        </r>
      </text>
    </comment>
    <comment ref="F26" authorId="0" shapeId="0" xr:uid="{00000000-0006-0000-1400-000002000000}">
      <text>
        <r>
          <rPr>
            <b/>
            <sz val="9"/>
            <color indexed="81"/>
            <rFont val="Tahoma"/>
            <family val="2"/>
          </rPr>
          <t>Buonanno Girolamo:</t>
        </r>
        <r>
          <rPr>
            <sz val="9"/>
            <color indexed="81"/>
            <rFont val="Tahoma"/>
            <family val="2"/>
          </rPr>
          <t xml:space="preserve">
dato rilevato al sopralluogo</t>
        </r>
      </text>
    </comment>
    <comment ref="F27" authorId="0" shapeId="0" xr:uid="{00000000-0006-0000-1400-000003000000}">
      <text>
        <r>
          <rPr>
            <b/>
            <sz val="9"/>
            <color indexed="81"/>
            <rFont val="Tahoma"/>
            <family val="2"/>
          </rPr>
          <t>Buonanno Girolamo:</t>
        </r>
        <r>
          <rPr>
            <sz val="9"/>
            <color indexed="81"/>
            <rFont val="Tahoma"/>
            <family val="2"/>
          </rPr>
          <t xml:space="preserve">
dato rilevato al sopralluogo</t>
        </r>
      </text>
    </comment>
    <comment ref="F30" authorId="0" shapeId="0" xr:uid="{00000000-0006-0000-1400-000004000000}">
      <text>
        <r>
          <rPr>
            <b/>
            <sz val="9"/>
            <color indexed="81"/>
            <rFont val="Tahoma"/>
            <family val="2"/>
          </rPr>
          <t>Buonanno Girolamo:</t>
        </r>
        <r>
          <rPr>
            <sz val="9"/>
            <color indexed="81"/>
            <rFont val="Tahoma"/>
            <family val="2"/>
          </rPr>
          <t xml:space="preserve">
dato rilevato al sopralluogo</t>
        </r>
      </text>
    </comment>
    <comment ref="F40" authorId="0" shapeId="0" xr:uid="{00000000-0006-0000-1400-000005000000}">
      <text>
        <r>
          <rPr>
            <b/>
            <sz val="9"/>
            <color indexed="81"/>
            <rFont val="Tahoma"/>
            <family val="2"/>
          </rPr>
          <t>Buonanno Girolamo:</t>
        </r>
        <r>
          <rPr>
            <sz val="9"/>
            <color indexed="81"/>
            <rFont val="Tahoma"/>
            <family val="2"/>
          </rPr>
          <t xml:space="preserve">
dato rilevato al sopralluogo</t>
        </r>
      </text>
    </comment>
    <comment ref="F47" authorId="0" shapeId="0" xr:uid="{00000000-0006-0000-1400-000006000000}">
      <text>
        <r>
          <rPr>
            <b/>
            <sz val="9"/>
            <color indexed="81"/>
            <rFont val="Tahoma"/>
            <family val="2"/>
          </rPr>
          <t>Buonanno Girolamo:</t>
        </r>
        <r>
          <rPr>
            <sz val="9"/>
            <color indexed="81"/>
            <rFont val="Tahoma"/>
            <family val="2"/>
          </rPr>
          <t xml:space="preserve">
dato rilevato al sopralluogo</t>
        </r>
      </text>
    </comment>
    <comment ref="G51" authorId="0" shapeId="0" xr:uid="{00000000-0006-0000-1400-000007000000}">
      <text>
        <r>
          <rPr>
            <b/>
            <sz val="9"/>
            <color indexed="81"/>
            <rFont val="Tahoma"/>
            <family val="2"/>
          </rPr>
          <t>Buonanno Girolamo:</t>
        </r>
        <r>
          <rPr>
            <sz val="9"/>
            <color indexed="81"/>
            <rFont val="Tahoma"/>
            <family val="2"/>
          </rPr>
          <t xml:space="preserve">
nuovo inserimento</t>
        </r>
      </text>
    </comment>
  </commentList>
</comments>
</file>

<file path=xl/sharedStrings.xml><?xml version="1.0" encoding="utf-8"?>
<sst xmlns="http://schemas.openxmlformats.org/spreadsheetml/2006/main" count="4204" uniqueCount="1363">
  <si>
    <t>FACCHINAGGIO ESTERNO/TRASLOCHI</t>
  </si>
  <si>
    <t>FACCHINAGGIO INTERNO</t>
  </si>
  <si>
    <t>IMPIANTI ELETTRICI</t>
  </si>
  <si>
    <t>IMPIANTI ELEVATORI</t>
  </si>
  <si>
    <t>IMPIANTI IDRICO SANITARI</t>
  </si>
  <si>
    <t>PULIZIA</t>
  </si>
  <si>
    <t>RECEPTION</t>
  </si>
  <si>
    <t>REC</t>
  </si>
  <si>
    <t>FAC</t>
  </si>
  <si>
    <t>j</t>
  </si>
  <si>
    <t>Voce di offerta economica</t>
  </si>
  <si>
    <t>Altre attività</t>
  </si>
  <si>
    <t>Servizio</t>
  </si>
  <si>
    <t>PUL1</t>
  </si>
  <si>
    <t>PUL2</t>
  </si>
  <si>
    <t>PUL3</t>
  </si>
  <si>
    <t>PUL4</t>
  </si>
  <si>
    <t>PUL5</t>
  </si>
  <si>
    <t>PUL6</t>
  </si>
  <si>
    <t>PUL7</t>
  </si>
  <si>
    <t>PUL8</t>
  </si>
  <si>
    <t>DIS1</t>
  </si>
  <si>
    <t>DIS2</t>
  </si>
  <si>
    <t>GIA1</t>
  </si>
  <si>
    <t>GIA2</t>
  </si>
  <si>
    <t>C</t>
  </si>
  <si>
    <t>EC</t>
  </si>
  <si>
    <t>Manutenzione Impianti Elettrici</t>
  </si>
  <si>
    <t>Manutenzione Impianti di Raffrescamento</t>
  </si>
  <si>
    <t>Manutenzione Impianti di Riscaldamento</t>
  </si>
  <si>
    <t>Manutenzione Impianti Speciali</t>
  </si>
  <si>
    <t>Manutenzione Impianti Antincendio</t>
  </si>
  <si>
    <t>Manutenzione Impianti Elevatori</t>
  </si>
  <si>
    <t>ELT</t>
  </si>
  <si>
    <t>RAF</t>
  </si>
  <si>
    <t>RIS</t>
  </si>
  <si>
    <t>IDR</t>
  </si>
  <si>
    <t>ELV</t>
  </si>
  <si>
    <t>ANT</t>
  </si>
  <si>
    <t>SPE</t>
  </si>
  <si>
    <t>PRT</t>
  </si>
  <si>
    <t>PRP</t>
  </si>
  <si>
    <t>STR1</t>
  </si>
  <si>
    <t>STR2</t>
  </si>
  <si>
    <t>STR3</t>
  </si>
  <si>
    <t>SMA2</t>
  </si>
  <si>
    <t>SMA1</t>
  </si>
  <si>
    <t>STR4</t>
  </si>
  <si>
    <t>MDO</t>
  </si>
  <si>
    <t>alfa</t>
  </si>
  <si>
    <t>canone/extra</t>
  </si>
  <si>
    <t>Codice ribasso</t>
  </si>
  <si>
    <t>Punti max</t>
  </si>
  <si>
    <t>Manutenzione Impianti</t>
  </si>
  <si>
    <t>Attività straordinarie</t>
  </si>
  <si>
    <t>Pulizia</t>
  </si>
  <si>
    <t>PUL9</t>
  </si>
  <si>
    <t>Derattizzazione e Disinfestazione</t>
  </si>
  <si>
    <t>Attività ordinarie</t>
  </si>
  <si>
    <t>Derattizzazione e Disinfestazione a richiesta programmabile</t>
  </si>
  <si>
    <t>Derattizzazione e Disinfestazione a richiesta non programmabile</t>
  </si>
  <si>
    <t>Reception</t>
  </si>
  <si>
    <t>Facchinaggio Interno</t>
  </si>
  <si>
    <t>Facchinaggio Esterno/Traslochi</t>
  </si>
  <si>
    <t>TRA1</t>
  </si>
  <si>
    <t>Utilizzo mezzo del servizio di  Facchinaggio  Esterno / Traslochi</t>
  </si>
  <si>
    <t>TRA2</t>
  </si>
  <si>
    <t>Listino delle attività a richiesta di Facchinaggio Esterno/Traslochi</t>
  </si>
  <si>
    <t>TRA3</t>
  </si>
  <si>
    <t>Mantenimento Edile</t>
  </si>
  <si>
    <t>Mantenimento edile</t>
  </si>
  <si>
    <t>MED1</t>
  </si>
  <si>
    <t>MED2</t>
  </si>
  <si>
    <t>Presidio</t>
  </si>
  <si>
    <t>n° Criterio</t>
  </si>
  <si>
    <t>Criterio di valutazione dell’offerta tecnica</t>
  </si>
  <si>
    <t>n° Sub-criterio</t>
  </si>
  <si>
    <t>Sub-criteri di valutazione dell’offerta tecnica</t>
  </si>
  <si>
    <t>Punti D max</t>
  </si>
  <si>
    <t>Punti T max</t>
  </si>
  <si>
    <t>ERED</t>
  </si>
  <si>
    <t>RIP</t>
  </si>
  <si>
    <t>Certificazioni</t>
  </si>
  <si>
    <t>1.1</t>
  </si>
  <si>
    <t>Sistema di Gestione della Qualità</t>
  </si>
  <si>
    <t>X</t>
  </si>
  <si>
    <t>1.2</t>
  </si>
  <si>
    <t>Sistema di Gestione Ambientale</t>
  </si>
  <si>
    <t>1.3</t>
  </si>
  <si>
    <t>Sistema di Gestione della salute e sicurezza sul lavoro</t>
  </si>
  <si>
    <t>1.4</t>
  </si>
  <si>
    <t>Responsabilità Sociale</t>
  </si>
  <si>
    <t>2.1</t>
  </si>
  <si>
    <t>Struttura organizzativa</t>
  </si>
  <si>
    <t>Formazione del personale</t>
  </si>
  <si>
    <t>Qualità del Piano di lavoro, dei macchinari e delle attrezzature</t>
  </si>
  <si>
    <t>3.1</t>
  </si>
  <si>
    <t>3.2</t>
  </si>
  <si>
    <t>3.3</t>
  </si>
  <si>
    <t>3.4</t>
  </si>
  <si>
    <t>3.5</t>
  </si>
  <si>
    <t>3.6</t>
  </si>
  <si>
    <t>3.7</t>
  </si>
  <si>
    <t>3.8</t>
  </si>
  <si>
    <t>3.9</t>
  </si>
  <si>
    <t>3.10</t>
  </si>
  <si>
    <t>3.11</t>
  </si>
  <si>
    <t>3.12</t>
  </si>
  <si>
    <t>Certificazione UNI EN 16636 Pest Control Management</t>
  </si>
  <si>
    <t>3.13</t>
  </si>
  <si>
    <t>3.14</t>
  </si>
  <si>
    <t>3.15</t>
  </si>
  <si>
    <t>3.16</t>
  </si>
  <si>
    <t>3.17</t>
  </si>
  <si>
    <t>3.18</t>
  </si>
  <si>
    <t>4.1</t>
  </si>
  <si>
    <t>4.2</t>
  </si>
  <si>
    <t>Efficacia del Piano Gestionale del servizio finalizzato a ridurre l'impatto ambientale</t>
  </si>
  <si>
    <t>5.1</t>
  </si>
  <si>
    <t>CAM Pulizia</t>
  </si>
  <si>
    <t>5.2</t>
  </si>
  <si>
    <t>MANTENIMENTO EDILE</t>
  </si>
  <si>
    <t>IMPIANTI SPECIALI</t>
  </si>
  <si>
    <t>SERVIZI DI MANUTENZIONE IMPIANTI</t>
  </si>
  <si>
    <t>IMPIANTI ANTINCENDIO</t>
  </si>
  <si>
    <t>SERVIZI DI IGIENE AMBIENTALE</t>
  </si>
  <si>
    <t>DISINFESTAZIONE E DERATTIZZAZIONE</t>
  </si>
  <si>
    <t>ALTRI SERVIZI</t>
  </si>
  <si>
    <t>Importo a consumo</t>
  </si>
  <si>
    <t>PRESIDIO PULIZIA</t>
  </si>
  <si>
    <t>TOTALE 4 ANNI</t>
  </si>
  <si>
    <t>DIS3</t>
  </si>
  <si>
    <t>TRA4</t>
  </si>
  <si>
    <t>TOTALE CANONE</t>
  </si>
  <si>
    <t>TOTALE EXTRA-CANONE</t>
  </si>
  <si>
    <t>TOTALE APPALTO</t>
  </si>
  <si>
    <t>W</t>
  </si>
  <si>
    <t>%</t>
  </si>
  <si>
    <t>ACCORDO QUADRO</t>
  </si>
  <si>
    <t>APPALTO SPECIFICO</t>
  </si>
  <si>
    <t>PRESIDIO TECNOLOGICO</t>
  </si>
  <si>
    <t>FORNITORE 1</t>
  </si>
  <si>
    <t>FORNITORE 2</t>
  </si>
  <si>
    <t>Ribasso Fornitore 1</t>
  </si>
  <si>
    <r>
      <t xml:space="preserve">PE </t>
    </r>
    <r>
      <rPr>
        <b/>
        <sz val="8"/>
        <color theme="1"/>
        <rFont val="Calibri"/>
        <family val="2"/>
      </rPr>
      <t>EC</t>
    </r>
    <r>
      <rPr>
        <b/>
        <sz val="9"/>
        <color theme="1"/>
        <rFont val="Calibri"/>
        <family val="2"/>
      </rPr>
      <t xml:space="preserve"> Fornitore 1</t>
    </r>
  </si>
  <si>
    <r>
      <t xml:space="preserve">PE </t>
    </r>
    <r>
      <rPr>
        <b/>
        <sz val="8"/>
        <color theme="1"/>
        <rFont val="Calibri"/>
        <family val="2"/>
      </rPr>
      <t>EC</t>
    </r>
    <r>
      <rPr>
        <b/>
        <sz val="9"/>
        <color theme="1"/>
        <rFont val="Calibri"/>
        <family val="2"/>
      </rPr>
      <t xml:space="preserve"> Fornitore 2</t>
    </r>
  </si>
  <si>
    <t>EC (si/no)</t>
  </si>
  <si>
    <t>Ribasso complessivo</t>
  </si>
  <si>
    <t>CALCOLO RIBASSO SERVIZI A CANONE</t>
  </si>
  <si>
    <t>CALCOLO RIBASSO COMPLESSIVO (R) E PUNTEGGIO ECONOMICO IN APPALTO SPECIFICO</t>
  </si>
  <si>
    <t xml:space="preserve">Ribasso Canone </t>
  </si>
  <si>
    <t xml:space="preserve">Ribasso Extra-Canone </t>
  </si>
  <si>
    <r>
      <t xml:space="preserve">R </t>
    </r>
    <r>
      <rPr>
        <i/>
        <sz val="11"/>
        <color theme="1"/>
        <rFont val="Calibri"/>
        <family val="2"/>
        <scheme val="minor"/>
      </rPr>
      <t>fornitore 1</t>
    </r>
  </si>
  <si>
    <r>
      <t>R</t>
    </r>
    <r>
      <rPr>
        <sz val="12"/>
        <color theme="1"/>
        <rFont val="Calibri"/>
        <family val="2"/>
        <scheme val="minor"/>
      </rPr>
      <t>EC</t>
    </r>
    <r>
      <rPr>
        <i/>
        <sz val="11"/>
        <color theme="1"/>
        <rFont val="Calibri"/>
        <family val="2"/>
        <scheme val="minor"/>
      </rPr>
      <t>, fornitore 1</t>
    </r>
  </si>
  <si>
    <r>
      <t>R</t>
    </r>
    <r>
      <rPr>
        <sz val="12"/>
        <color theme="1"/>
        <rFont val="Calibri"/>
        <family val="2"/>
        <scheme val="minor"/>
      </rPr>
      <t>C</t>
    </r>
    <r>
      <rPr>
        <i/>
        <sz val="11"/>
        <color theme="1"/>
        <rFont val="Calibri"/>
        <family val="2"/>
        <scheme val="minor"/>
      </rPr>
      <t>, fornitore 1</t>
    </r>
  </si>
  <si>
    <r>
      <t>R</t>
    </r>
    <r>
      <rPr>
        <sz val="12"/>
        <color theme="1"/>
        <rFont val="Calibri"/>
        <family val="2"/>
        <scheme val="minor"/>
      </rPr>
      <t>C</t>
    </r>
    <r>
      <rPr>
        <i/>
        <sz val="11"/>
        <color theme="1"/>
        <rFont val="Calibri"/>
        <family val="2"/>
        <scheme val="minor"/>
      </rPr>
      <t>, fornitore 2</t>
    </r>
  </si>
  <si>
    <r>
      <t>R</t>
    </r>
    <r>
      <rPr>
        <sz val="12"/>
        <color theme="1"/>
        <rFont val="Calibri"/>
        <family val="2"/>
        <scheme val="minor"/>
      </rPr>
      <t>EC</t>
    </r>
    <r>
      <rPr>
        <i/>
        <sz val="11"/>
        <color theme="1"/>
        <rFont val="Calibri"/>
        <family val="2"/>
        <scheme val="minor"/>
      </rPr>
      <t>, fornitore 2</t>
    </r>
  </si>
  <si>
    <r>
      <t xml:space="preserve">R </t>
    </r>
    <r>
      <rPr>
        <i/>
        <sz val="11"/>
        <color theme="1"/>
        <rFont val="Calibri"/>
        <family val="2"/>
        <scheme val="minor"/>
      </rPr>
      <t>fornitore 2</t>
    </r>
  </si>
  <si>
    <r>
      <t>PE</t>
    </r>
    <r>
      <rPr>
        <sz val="12"/>
        <color theme="1"/>
        <rFont val="Calibri"/>
        <family val="2"/>
        <scheme val="minor"/>
      </rPr>
      <t>AS,fornitore 2</t>
    </r>
  </si>
  <si>
    <r>
      <t>PE</t>
    </r>
    <r>
      <rPr>
        <sz val="12"/>
        <color theme="1"/>
        <rFont val="Calibri"/>
        <family val="2"/>
        <scheme val="minor"/>
      </rPr>
      <t>AS,fornitore 1</t>
    </r>
  </si>
  <si>
    <t>Ribasso Fornitore 2</t>
  </si>
  <si>
    <t>CALCOLO RIBASSO SERVIZI EXTRA-CANONE</t>
  </si>
  <si>
    <t>si</t>
  </si>
  <si>
    <t>no</t>
  </si>
  <si>
    <t>Certificazione Ecolabel delle divise del personale di pulizia</t>
  </si>
  <si>
    <t>3.19</t>
  </si>
  <si>
    <t>Riduzione imballaggi nel servizio di facchinaggio interno</t>
  </si>
  <si>
    <t>Sistema di monitoraggio delle prestazioni</t>
  </si>
  <si>
    <t>Accertamento adempimenti retributivi dell'esecutore e del subappaltatore</t>
  </si>
  <si>
    <t>4.3</t>
  </si>
  <si>
    <t>4.4</t>
  </si>
  <si>
    <t>4.5</t>
  </si>
  <si>
    <t>3.20</t>
  </si>
  <si>
    <t>3.21</t>
  </si>
  <si>
    <t>Implementazione e gestione del Sistema Informativo e del Contact Center</t>
  </si>
  <si>
    <t>Costituzione e gestione dell’anagrafica tecnica</t>
  </si>
  <si>
    <t>Riduzione tempi di sopralluogo e inizio esecuzione attività</t>
  </si>
  <si>
    <t>CAM Manutenzione del verde</t>
  </si>
  <si>
    <t>Punti Q max</t>
  </si>
  <si>
    <r>
      <t>PT</t>
    </r>
    <r>
      <rPr>
        <b/>
        <sz val="8"/>
        <color theme="1"/>
        <rFont val="Calibri"/>
        <family val="2"/>
        <scheme val="minor"/>
      </rPr>
      <t>ER</t>
    </r>
  </si>
  <si>
    <r>
      <t>PT</t>
    </r>
    <r>
      <rPr>
        <b/>
        <sz val="8"/>
        <color theme="1"/>
        <rFont val="Calibri"/>
        <family val="2"/>
        <scheme val="minor"/>
      </rPr>
      <t>AS</t>
    </r>
  </si>
  <si>
    <t>TOTALE</t>
  </si>
  <si>
    <t>Manutenzione del Verde</t>
  </si>
  <si>
    <t>SMALTIMENTO RIFIUTI SPECIALI</t>
  </si>
  <si>
    <t>MANUTENZIONE DEL VERDE</t>
  </si>
  <si>
    <t>Manutenzione Impianti Idrico Sanitari</t>
  </si>
  <si>
    <t>Attività a richiesta programmabili</t>
  </si>
  <si>
    <t>Addetti al servizio di reception</t>
  </si>
  <si>
    <t>Qualità della struttura organizzativa e misure formative</t>
  </si>
  <si>
    <t>Metodologie operative per l'esecuzione del servizio di pulizia</t>
  </si>
  <si>
    <t>3.22</t>
  </si>
  <si>
    <t>Metodologie operative per l’esecuzione del servizio di manutenzione degli impianti elettrici</t>
  </si>
  <si>
    <t>Metodologie operative per l’esecuzione del   servizio di manutenzione degli impianti di climatizzazione</t>
  </si>
  <si>
    <t>Metodologie operative per l’esecuzione del servizio di manutenzione degli impianti idrico sanitari</t>
  </si>
  <si>
    <t>Metodologie operative per l’esecuzione del   servizio di manutenzione degli impianti elevatori</t>
  </si>
  <si>
    <t>Metodologie operative per l’esecuzione del   servizio di manutenzione degli impianti antincendio</t>
  </si>
  <si>
    <t>Metodologie operative per l’esecuzione del servizio di manutenzione degli impianti speciali</t>
  </si>
  <si>
    <t>Metodologie operative per l’esecuzione del   servizio di raccolta e conferimento a smaltimento dei rifiuti speciali</t>
  </si>
  <si>
    <t>Metodologie operative per l’esecuzione del servizio di manutenzione del verde</t>
  </si>
  <si>
    <t>Metodologie operative per l’esecuzione del servizio di facchinaggio esterno/traslochi</t>
  </si>
  <si>
    <t>Metodologie operative per l’esecuzione del servizio di mantenimento edile</t>
  </si>
  <si>
    <t>Valore obiettivo degli Indicatori di Qualità Percepita -  Servizi di manutenzione impianti</t>
  </si>
  <si>
    <t>Valore obiettivo degli Indicatori di Qualità Percepita -  Servizi di pulizia, igiene ambientale e altri servizi operativi</t>
  </si>
  <si>
    <t>Valore obiettivo degli Indicatori di Prestazione -  Servizi di manutenzione impianti</t>
  </si>
  <si>
    <t>Valore obiettivo degli Indicatori di Prestazione -  Servizi di igiene ambientale</t>
  </si>
  <si>
    <t>Modalità e strumentazione per la valutazione e il controllo dei livelli di servizio</t>
  </si>
  <si>
    <t>Metodologia per la determinazione degli Indicatori di Qualità</t>
  </si>
  <si>
    <t>Metodologia per la determinazione degli Indicatori di Prestazione</t>
  </si>
  <si>
    <t>Soluzioni atte a favorire il miglioramento delle condizioni lavorative e del trattamento delle risorse</t>
  </si>
  <si>
    <t>Listini relativi agli Impianti Elettrici e Speciali (rif. par. 8.2 dell’Allegato 1 - Capitolato Tecnico)</t>
  </si>
  <si>
    <t>Listini relativi agli impianti di Raffrescamento, Riscaldamento e Idrico Sanitari (rif. par. 8.2 dell’Allegato 1 - Capitolato Tecnico)</t>
  </si>
  <si>
    <t>Listini relativi agli Impianti Elevatori (rif. par. 8.2 dell’Allegato 1 - Capitolato Tecnico)</t>
  </si>
  <si>
    <t>Listini relativi agli Impianti Antincendio (rif. par. 8.2 dell’Allegato 1 - Capitolato Tecnico)</t>
  </si>
  <si>
    <t>Area Omogenea 1 - Uffici</t>
  </si>
  <si>
    <t>Area Omogenea 2 - Spazi connettivi</t>
  </si>
  <si>
    <t>Area Omogenea 3 - Servizi igienici</t>
  </si>
  <si>
    <t>Area Omogenea 4 - Aree tecniche</t>
  </si>
  <si>
    <t>Area Omogenea 5 - Aree polifunzionali</t>
  </si>
  <si>
    <t>Area Omogenea 6 - Mense</t>
  </si>
  <si>
    <t>Area Omogenea 7 - Cucine</t>
  </si>
  <si>
    <t>Area Omogenea 8 - Aule didattiche</t>
  </si>
  <si>
    <t>Area Omogenea 9 - Corpi di guardia</t>
  </si>
  <si>
    <t>Area Omogenea 10 - Camere di sicurezza</t>
  </si>
  <si>
    <t>Area Omogenea 11 - Biblioteche e sale di lettura</t>
  </si>
  <si>
    <t>Area Omogenea 12 - Aree esterne non a verde</t>
  </si>
  <si>
    <t>Attività di base</t>
  </si>
  <si>
    <t>Pulizia a richiesta (€/h) programmabile</t>
  </si>
  <si>
    <t>Pulizia a richiesta (€/mq/intervento e €/p.to/intervento) programmabile</t>
  </si>
  <si>
    <t>Pulizia a richiesta (€/mq/intervento e €/p.to/intervento) non programmabile</t>
  </si>
  <si>
    <t>Raccolta e conferimento a smaltimento dei rifiuti speciali</t>
  </si>
  <si>
    <t xml:space="preserve">Raccolta e conferimento a smaltimento dei rifiuti speciali </t>
  </si>
  <si>
    <t>Raccolta e Conferimento a Smaltimento Rifiuti Speciali</t>
  </si>
  <si>
    <t>Listino relativo alla Manutenzione del Verde (rif. par. 8.2 dell’Allegato 1 - Capitolato Tecnico)</t>
  </si>
  <si>
    <t>Facchinaggio  Esterno / Traslochi</t>
  </si>
  <si>
    <t>Utilizzo mezzo/squadra del servizio di  Facchinaggio  Esterno / Traslochi a richiesta</t>
  </si>
  <si>
    <t>Listini relativi al Mantenimento Edile (rif. par. 8.2 dell’Allegato 1 - Capitolato Tecnico)</t>
  </si>
  <si>
    <t>Altre attività a richiesta</t>
  </si>
  <si>
    <t>Presidio Tecnologico</t>
  </si>
  <si>
    <t>Presidio Pulizia</t>
  </si>
  <si>
    <t>Corrispettivo delle altre attività a richiesta (€/h)</t>
  </si>
  <si>
    <t>TOTALE AQ</t>
  </si>
  <si>
    <t>CALCOLO PUNTEGGIO TOTALE IN APPALTO SPECIFICO</t>
  </si>
  <si>
    <r>
      <t>PT</t>
    </r>
    <r>
      <rPr>
        <sz val="12"/>
        <color theme="1"/>
        <rFont val="Calibri"/>
        <family val="2"/>
        <scheme val="minor"/>
      </rPr>
      <t>AS,fornitore 1</t>
    </r>
  </si>
  <si>
    <r>
      <t>PT</t>
    </r>
    <r>
      <rPr>
        <sz val="12"/>
        <color theme="1"/>
        <rFont val="Calibri"/>
        <family val="2"/>
        <scheme val="minor"/>
      </rPr>
      <t>AS,fornitore 2</t>
    </r>
  </si>
  <si>
    <t>VALORE APPALTO AGGIUDICATARIO</t>
  </si>
  <si>
    <t>GRADUATORIA APPALTO SPECIFICO</t>
  </si>
  <si>
    <t>1.</t>
  </si>
  <si>
    <t>2.</t>
  </si>
  <si>
    <r>
      <t>PT</t>
    </r>
    <r>
      <rPr>
        <sz val="12"/>
        <color theme="1"/>
        <rFont val="Calibri"/>
        <family val="2"/>
        <scheme val="minor"/>
      </rPr>
      <t>ER,fornitore 1</t>
    </r>
  </si>
  <si>
    <r>
      <t>PT</t>
    </r>
    <r>
      <rPr>
        <sz val="12"/>
        <color theme="1"/>
        <rFont val="Calibri"/>
        <family val="2"/>
        <scheme val="minor"/>
      </rPr>
      <t>ER,fornitore 2</t>
    </r>
  </si>
  <si>
    <t>Codice Prezzo</t>
  </si>
  <si>
    <t>Impianti</t>
  </si>
  <si>
    <t>Codice Attività</t>
  </si>
  <si>
    <t>Descrizione Attività</t>
  </si>
  <si>
    <t>ELT-ORD1</t>
  </si>
  <si>
    <t>Impianti di utenza per le connessioni di Media Tensione (MT)</t>
  </si>
  <si>
    <t>ELT.AP.01-01
ELT.AP.01-02
ELT.AP.01-03
ELT.AP.01-04
ELT.AP.01-05
ELT.AP.01-06</t>
  </si>
  <si>
    <t>Manutenzione Impianti di utenza per immobili connessi in Media Tensione (MT), comprensiva di tutte le apparecchiature, determinato sulla base del numero di punti di connessione alla rete MT</t>
  </si>
  <si>
    <t>impianto MT</t>
  </si>
  <si>
    <t>ELT-ORD2</t>
  </si>
  <si>
    <t>Impianti di utenza per le connessioni in Bassa Tensione (BT)</t>
  </si>
  <si>
    <t>ELT.AP.01-06
ELT.AP.01-07</t>
  </si>
  <si>
    <t>Manutenzione Impianti di utenza per immobili connessi in Bassa Tensione (MT), comprensiva di tutte le apparecchiature, determinato sulla base del numero di punti di connessione alla rete BT</t>
  </si>
  <si>
    <t>impianto BT</t>
  </si>
  <si>
    <t>ELT-ORD3</t>
  </si>
  <si>
    <t>Distribuzione elettrica secondaria</t>
  </si>
  <si>
    <t>ELT.AP.02-01
ELT.AP.02-02
ELT.AP.02-03
ELT.AP.07-01
ELT.AP.07-02</t>
  </si>
  <si>
    <t>Manutenzione dell'impianto di distribuzione elettrica secondaria (con esclusione delle sole voci remunerate con specifici canoni) determinato sulla base della superficie lorda dell'immobile</t>
  </si>
  <si>
    <t>mq sup. lorda</t>
  </si>
  <si>
    <t>ELT-ORD4.1</t>
  </si>
  <si>
    <t>ELT.AP.03-01
ELT.AP.03-02
ELT.AP.03-03
ELT.AP.03-04
ELT.AP.03-05</t>
  </si>
  <si>
    <t>Manutenzione dei Gruppi elettrogeni, comprensiva di tutte le apparecchiature, determinato sulla base del numero di Gruppi elettrogeni presenti per taglia di potenza (valore di targa in kVA)</t>
  </si>
  <si>
    <t>gruppo elettrogeno</t>
  </si>
  <si>
    <t>ELT-ORD4.2</t>
  </si>
  <si>
    <t>ELT-ORD4.3</t>
  </si>
  <si>
    <t>ELT-ORD4.4</t>
  </si>
  <si>
    <t>ELT-ORD5.1</t>
  </si>
  <si>
    <t>Gruppi di continuità fino a 10 kVA</t>
  </si>
  <si>
    <t>ELT.AP.04-01
ELT.AP.04-02
ELT.AP.04-03
ELT.AP.04-04
ELT.AP.04-05</t>
  </si>
  <si>
    <t>Manutenzione dei Gruppi di continuità comprensiva di tutte le apparecchiature, determinato sulla base del numero di Gruppi di continuità presenti per taglia di potenza  (valore di targa in kVA)</t>
  </si>
  <si>
    <t>gruppo di continuità</t>
  </si>
  <si>
    <t>ELT-ORD5.2</t>
  </si>
  <si>
    <t>Gruppi di continuità da 11 kVA a 60 kVA</t>
  </si>
  <si>
    <t>ELT-ORD5.3</t>
  </si>
  <si>
    <t>Gruppi di continuità da 61 kVA a 100 kVA</t>
  </si>
  <si>
    <t>ELT-ORD5.4</t>
  </si>
  <si>
    <t>Gruppi di continuità da 101 kVA a 160 kVA</t>
  </si>
  <si>
    <t>ELT-ORD5.5</t>
  </si>
  <si>
    <t>Gruppi di continuità  oltre i 160 kVA</t>
  </si>
  <si>
    <t>ELT-ORD6</t>
  </si>
  <si>
    <t>Impianto di terra</t>
  </si>
  <si>
    <t>ELT.AP.05-01
ELT.AP.05-02
ELT.AP.05-03</t>
  </si>
  <si>
    <t>Manutenzione dell'Impianto di terra comprensivo di tutti gli accessori determinato sulla base della superficie lorda dell'immobile</t>
  </si>
  <si>
    <t>ELT-ORD7</t>
  </si>
  <si>
    <t>Impianto di protezione contro le scariche atmosferiche</t>
  </si>
  <si>
    <t>ELT.AP.06-01
ELT.AP.06-02
ELT.AP.06-03
ELT.AP.06-04</t>
  </si>
  <si>
    <t>Manutenzione dell'Impianto di protezione contro le scariche atmosferiche e di tutti gli accessori determinato sulla base della superficie lorda dell'immobile</t>
  </si>
  <si>
    <t>ELT-ORD8</t>
  </si>
  <si>
    <t>Impianto di illuminazione esterna</t>
  </si>
  <si>
    <t>ELT.AP.08-01
ELT.AP.08-02
ELT.AP.08-03
ELT.AP.08-04</t>
  </si>
  <si>
    <t>Manutenzione dell'Impianto di illuminazione esterna e di tutti gli accessori determinato sulla base del numero di pali</t>
  </si>
  <si>
    <t>palo</t>
  </si>
  <si>
    <t>ELT-ORD9</t>
  </si>
  <si>
    <t>Impianto fotovoltaico</t>
  </si>
  <si>
    <t>ELT.AP.09-01 
ELT.AP.09-02
ELT.AP.09-03
ELT.AP.09-04
ELT.AP.09-05
ELT.AP.09-06
ELT.AP.09-07
ELT.AP.09-08</t>
  </si>
  <si>
    <t>Manutenzione dell'Impianto fotovoltaico e di tutti gli accessori determinato sulla base della superficie dei pannelli</t>
  </si>
  <si>
    <t>mq pannelli</t>
  </si>
  <si>
    <t>Quantità</t>
  </si>
  <si>
    <t>IMMOBILE 1</t>
  </si>
  <si>
    <t>IMMOBILE 2</t>
  </si>
  <si>
    <t>IMMOBILE 3</t>
  </si>
  <si>
    <t>IMMOBILE 4</t>
  </si>
  <si>
    <t>IMMOBILE 5</t>
  </si>
  <si>
    <t>IMMOBILE 6</t>
  </si>
  <si>
    <t>IMMOBILE 7</t>
  </si>
  <si>
    <t>IMMOBILE 8</t>
  </si>
  <si>
    <t>IMMOBILE 9</t>
  </si>
  <si>
    <t>IMMOBILE 10</t>
  </si>
  <si>
    <t>IMMOBILE 11</t>
  </si>
  <si>
    <t>IMMOBILE 12</t>
  </si>
  <si>
    <t>IMMOBILE 13</t>
  </si>
  <si>
    <t>IMMOBILE 14</t>
  </si>
  <si>
    <t>IMMOBILE 15</t>
  </si>
  <si>
    <t>IMMOBILE 16</t>
  </si>
  <si>
    <t>IMMOBILE 17</t>
  </si>
  <si>
    <t>IMMOBILE 18</t>
  </si>
  <si>
    <t>IMMOBILE 19</t>
  </si>
  <si>
    <t>IMMOBILE 20</t>
  </si>
  <si>
    <t>N.Mesi Servizio</t>
  </si>
  <si>
    <t>totale contratto BA</t>
  </si>
  <si>
    <t>totale valore F1</t>
  </si>
  <si>
    <t>totale valore F2</t>
  </si>
  <si>
    <t>Manutenzione ordinaria - Impianti di Climatizzazione (raffrescamento e riscaldamento)</t>
  </si>
  <si>
    <t>Manutenzione ordinaria - Impianti Elettrici</t>
  </si>
  <si>
    <t>RAF-ORD1</t>
  </si>
  <si>
    <t>Depuratori d'aria e deumidificatori</t>
  </si>
  <si>
    <t>CLI.AP.08-05</t>
  </si>
  <si>
    <t>RAF-ORD2</t>
  </si>
  <si>
    <t>Torri evaporative e condensatori evaporativi</t>
  </si>
  <si>
    <t>CLI.AP.01-05
CLI.AP.02-10</t>
  </si>
  <si>
    <t>CLI.ORD1.1</t>
  </si>
  <si>
    <t>Scambiatori di calore (piastre e fascio tubiero) fino a 200 kW</t>
  </si>
  <si>
    <t>CLI.AP.02-06</t>
  </si>
  <si>
    <t>CLI.ORD1.2</t>
  </si>
  <si>
    <t>Scambiatori di calore (piastre e fascio tubiero) da 201 kW a 1000 kW</t>
  </si>
  <si>
    <t>CLI.ORD1.3</t>
  </si>
  <si>
    <t>Scambiatori di calore (piastre e fascio tubiero) superiore a 1000kW</t>
  </si>
  <si>
    <t>CLI.ORD2</t>
  </si>
  <si>
    <t>Distribuzione impianti per la climatizzazione</t>
  </si>
  <si>
    <t>CLI.AP.05-01
CLI.AP.05-02
CLI.AP.05-03
CLI.AP.05-04
CLI.AP.06-01
CLI.AP.06-02
CLI.AP.06-03
CLI.AP.07-01
CLI.AP.07-02
CLI.AP.07-03
CLI.AP.07-04
CLI.AP.07-05</t>
  </si>
  <si>
    <t>CLI.ORD3</t>
  </si>
  <si>
    <t>Unità a prevalente scambio termico convettivo naturale</t>
  </si>
  <si>
    <t>CLI.AP.08-01</t>
  </si>
  <si>
    <t>CLI.ORD4</t>
  </si>
  <si>
    <t>Unità a prevalente scambio termico convettivo forzata</t>
  </si>
  <si>
    <t>CLI.AP.08-02</t>
  </si>
  <si>
    <t>CLI.ORD5</t>
  </si>
  <si>
    <t>Unità per il condizionamento dell'aria o Split</t>
  </si>
  <si>
    <t>CLI.AP.08-04</t>
  </si>
  <si>
    <t>CLI.ORD6</t>
  </si>
  <si>
    <t>Gruppo frigorifero/Pompa di calore con compressore a vite</t>
  </si>
  <si>
    <t>CLI.AP.01-03
CLI.AP.01-05
CLI.AP.02-07</t>
  </si>
  <si>
    <t>CLI.ORD7</t>
  </si>
  <si>
    <t>Gruppo frigorifero/Pompa di calore centrifugo</t>
  </si>
  <si>
    <t>CLI.AP.01-03
CLI.AP.01-05
CLI.AP.02-08</t>
  </si>
  <si>
    <t>CLI.ORD8</t>
  </si>
  <si>
    <t>Gruppo frigorifero/Pompa di calore ad assorbimento</t>
  </si>
  <si>
    <t>CLI.AP.01-03
CLI.AP.01-05
CLI.AP.02-09</t>
  </si>
  <si>
    <t>CLI.ORD9</t>
  </si>
  <si>
    <t>Impianto Solar Cooling</t>
  </si>
  <si>
    <t>CLI.AP.02-12</t>
  </si>
  <si>
    <t>CLI.ORD10</t>
  </si>
  <si>
    <t>Unità di Trattamento Aria (U.T.A.)</t>
  </si>
  <si>
    <t>CLI.AP.01-04
CLI.AP.01-05
CLI.AP.04-01
CLI.AP.04-02
CLI.AP.04-03
CLI.AP.04-04
CLI.AP.04-05
CLI.AP.04-06</t>
  </si>
  <si>
    <t>RIS-ORD1.1</t>
  </si>
  <si>
    <t>Generatori di calore fino a 35 kW</t>
  </si>
  <si>
    <t>CLI.AP.01-01
CLI.AP.01-05
CLI.AP.02-01
CLI.AP.02-03
CLI.AP.02-04</t>
  </si>
  <si>
    <t>RIS-ORD1.2</t>
  </si>
  <si>
    <t>Generatori di calore da 35 a 116 kW</t>
  </si>
  <si>
    <t>RIS-ORD1.3</t>
  </si>
  <si>
    <t>Generatori di calore da 116 a 350 kW</t>
  </si>
  <si>
    <t>RIS-ORD1.4</t>
  </si>
  <si>
    <t>Generatori di calore da 350 a 1162 kW</t>
  </si>
  <si>
    <t>RIS-ORD1.5</t>
  </si>
  <si>
    <t>Generatori di calore oltre i 1162 kW</t>
  </si>
  <si>
    <t>RIS-ORD1.6</t>
  </si>
  <si>
    <t>Extraprezzo per generatori di calore olio diatermico</t>
  </si>
  <si>
    <t>RIS-ORD2</t>
  </si>
  <si>
    <t>Serbatoi per combustibile liquido</t>
  </si>
  <si>
    <t>CLI.AP.02-02</t>
  </si>
  <si>
    <t>RIS-ORD3</t>
  </si>
  <si>
    <t>Bruciatori</t>
  </si>
  <si>
    <t>CLI.AP.02-05</t>
  </si>
  <si>
    <t>RIS-ORD4</t>
  </si>
  <si>
    <t>Impianti di trattamento dell'acqua</t>
  </si>
  <si>
    <t>CLI.AP.09-01
CLI.AP.09-02
CLI.AP.09-03</t>
  </si>
  <si>
    <t>RIS-ORD5.1</t>
  </si>
  <si>
    <t>Cogeneratore fino a 115 kWt</t>
  </si>
  <si>
    <t>CLI.AP.01-02
CLI.AP.01-05
CLI.AP.02-03
CLI.AP.02-04
CLI.AP.03-01
CLI.AP.03-02
CLI.AP.03-03
CLI.AP.03-04
CLI.AP.03-05
CLI.AP.03-06</t>
  </si>
  <si>
    <t>RIS-ORD5.2</t>
  </si>
  <si>
    <t>Cogeneratore da 115 a 500 kWt</t>
  </si>
  <si>
    <t>RIS-ORD5.3</t>
  </si>
  <si>
    <t>Cogeneratore oltre 500 kWt</t>
  </si>
  <si>
    <t>RIS-ORD6</t>
  </si>
  <si>
    <t>Unità a prevalente scambio termico radiativo</t>
  </si>
  <si>
    <t>CLI.AP.08-03</t>
  </si>
  <si>
    <t>RIS-ORD7</t>
  </si>
  <si>
    <t>Impianto solare termico per ACS e riscaldamento</t>
  </si>
  <si>
    <t>CLI.AP.02-11</t>
  </si>
  <si>
    <t>Manutenzione dei Depuratori d'aria e deumidificatori comprensivo di tutti gli accessori determinato sulla base del numero di elementi</t>
  </si>
  <si>
    <t>unità</t>
  </si>
  <si>
    <t>Manutenzione dell'impianto comprensivo di tutti gli accessori determinato sulla base del numero di Torri evaporative/Condensatori evaporativi</t>
  </si>
  <si>
    <t>torre</t>
  </si>
  <si>
    <t>Manutenzione dell'impianto comprensivo di tutti gli accessori determinato sulla base del numero di Scambiatori di calore per taglia di potenza (valore di targa in kW)</t>
  </si>
  <si>
    <t>scambiatore</t>
  </si>
  <si>
    <t>Manutenzione dell'impianto comprensivo di tutti gli accessori determinato sulla base della superficie lorda dell'immobile</t>
  </si>
  <si>
    <t>mq sup.lorda</t>
  </si>
  <si>
    <t>Manutenzione delle Unità a prevalente scambio termico convettivo naturale comprensivo di tutti gli accessori determinato sulla base del numero di terminali</t>
  </si>
  <si>
    <t>Manutenzione delle Unità a prevalente scambio termico convettivo forzata comprensivo di tutti gli accessori determinato sulla base del numero di terminali</t>
  </si>
  <si>
    <t>Manutenzione delle Unità autonome comprensivo di tutti gli accessori determinato sulla base del numero di unità interne</t>
  </si>
  <si>
    <t>Manutenzione dell'impianto comprensivo di tutti gli accessori determinato sulla base del numero di Gruppo frigorifero/Pompa di calore con compressore a vite</t>
  </si>
  <si>
    <t>gruppo frigo</t>
  </si>
  <si>
    <t>Manutenzione dell'impianto comprensivo di tutti gli accessori determinato sulla base del numero di Gruppo frigorifero/Pompa di calore centrifugo</t>
  </si>
  <si>
    <t>Manutenzione dell'impianto comprensivo di tutti gli accessori determinato sulla base del numero di Gruppo frigorifero/Pompa di calore ad assorbimento</t>
  </si>
  <si>
    <t>Manutenzione dell'impianto comprensivo di tutti gli accessori determinato sulla base della superficie totale dei pannelli come da schede produttore</t>
  </si>
  <si>
    <t>Manutenzione dell'impianto comprensivo di tutti gli accessori determinato sulla base del numero di Unità</t>
  </si>
  <si>
    <t>Manutenzione delle centrali termiche, comprensiva di tutte le apparecchiature, determinato sulla base del numero dei Generatori di calore presenti per taglia di potenza (valori di targa in kW)</t>
  </si>
  <si>
    <t>generatore</t>
  </si>
  <si>
    <t>Manutenzione dell'impianto comprensivo di tutti gli accessori determinato sulla base del numero di serbatoi</t>
  </si>
  <si>
    <t>serbatoio</t>
  </si>
  <si>
    <t>Manutenzione dell'impianto comprensivo di tutti gli accessori determinato sulla base del numero Bruciatori (sono computati i soli bruciatori non incorporati nei generatori di calore di cui alle voci RIS-ORD1)</t>
  </si>
  <si>
    <t>bruciatore</t>
  </si>
  <si>
    <t>Manutenzione dell'impianto comprensivo di tutti gli accessori determinato sulla base del numero degli impianti di trattametno dell'acqua</t>
  </si>
  <si>
    <t>impianto trattamento</t>
  </si>
  <si>
    <t>Manutenzione delle centrali di cogenerazione, comprensiva di tutti gli accessori, determinato sulla base di ore di funzionamento degli impianti per taglia di potenza (valori di targa in kWt)</t>
  </si>
  <si>
    <t>Manutenzione delle Unità a prevalente scambio termico radiativo comprensivo di tutti gli accessori determinato sulla base della superficie netta servita riscaldata</t>
  </si>
  <si>
    <t>mq sup. netta servita</t>
  </si>
  <si>
    <t>Manutenzione ordinaria - Impianti di Raffrescamento</t>
  </si>
  <si>
    <t>Manutenzione ordinaria - Impianti di Riscaldamento</t>
  </si>
  <si>
    <t>IDR-ORD1</t>
  </si>
  <si>
    <t>IDR-ORD2</t>
  </si>
  <si>
    <t>IDR-ORD3</t>
  </si>
  <si>
    <t>IDR-ORD4</t>
  </si>
  <si>
    <t>IDR-ORD5</t>
  </si>
  <si>
    <t>IDR-ORD6</t>
  </si>
  <si>
    <t>IDR-ORD7</t>
  </si>
  <si>
    <t>IDR-ORD8</t>
  </si>
  <si>
    <t>Centrali idriche</t>
  </si>
  <si>
    <t>Impianto di adduzione e distribuzione idrico sanitaria</t>
  </si>
  <si>
    <t>Impianto di trattamento delle acque</t>
  </si>
  <si>
    <t>Sistemi autonomi di produzione acqua calda sanitaria</t>
  </si>
  <si>
    <t>Impianto solare termico per ACS</t>
  </si>
  <si>
    <t>Terminali idrico sanitari e apparecchiature/accessori bagno</t>
  </si>
  <si>
    <t>Impianto di smaltimento acque reflue</t>
  </si>
  <si>
    <t>Impianto di irrigazione automatico esterno</t>
  </si>
  <si>
    <t>IDR.AP.02-01 
IDR.AP.02-02
IDR.AP.02-03
IDR.AP.02-04
IDR.AP.02-05</t>
  </si>
  <si>
    <t>IDR.AP.03-01 
IDR.AP.03-02
IDR.AP.03-03</t>
  </si>
  <si>
    <t>IDR.AP.04-01 
IDR.AP.04-02
IDR.AP.04-03
IDR.AP.04-04
IDR.AP.04-05</t>
  </si>
  <si>
    <t>IDR.AP.04-06</t>
  </si>
  <si>
    <t>IDR.AP.05-01
IDR.AP.05-02</t>
  </si>
  <si>
    <t>IDR.AP.06-01
IDR.AP.06-02
IDR.AP.06-03
IDR.AP.06-04</t>
  </si>
  <si>
    <t>IDR.AP.07-01
IDR.AP.07-02
IDR.AP.07-03</t>
  </si>
  <si>
    <t>Manutenzione delle Centrali idriche, comprensiva di tutti gli apparati e accessori, determinato sulla base del numero delle centrali</t>
  </si>
  <si>
    <t>centrale</t>
  </si>
  <si>
    <t>Manutenzione Impianto di adduzione e distribuzione idrico sanitaria, determinato sulla base della superficie lorda dell'immobile</t>
  </si>
  <si>
    <t>Manutenzione Impianto di trattamento delle acque, determinato sulla base del numero di impianti</t>
  </si>
  <si>
    <t>impianto</t>
  </si>
  <si>
    <t>Manutenzione Sistemi autonomi di produzione acqua calda sanitaria, determinato sulla base del numero di generatori di ACS</t>
  </si>
  <si>
    <t>generatore ACS</t>
  </si>
  <si>
    <t>Manutenzione Impianto solare termico per ACS, determinato sulla base della superficie dei pannelli come da schede produttore</t>
  </si>
  <si>
    <t>Manutenzione Utenze terminali e accessori, determinato sulla base della superficie netta delle Aree Omogenee servite (Area tipo 3 – Servizi igienici; Area tipo 7 – Cucine)</t>
  </si>
  <si>
    <t>mq sup. netta</t>
  </si>
  <si>
    <t>Manutenzione Impianto di smaltimento acque reflue, determinato sulla base del numero di impianti di sollevamento</t>
  </si>
  <si>
    <t>Manutenzione Impianto di irrigazione automatico esterno, determinato sulla base della superficie netta irrigata</t>
  </si>
  <si>
    <t>IMPIANTI CLIMATIZZAZIONE</t>
  </si>
  <si>
    <t>Manutenzione ordinaria - Impianti Elevatori</t>
  </si>
  <si>
    <t>Manutenzione ordinaria - Impianti Idrico Sanitari</t>
  </si>
  <si>
    <t>ELV-ORD1.1</t>
  </si>
  <si>
    <t>ELV-ORD1.2</t>
  </si>
  <si>
    <t>ELV-ORD1.3</t>
  </si>
  <si>
    <t>ELV-ORD2</t>
  </si>
  <si>
    <t>ELV-ORD3</t>
  </si>
  <si>
    <t>ELV-ORD4</t>
  </si>
  <si>
    <t>ELV-INT1.1</t>
  </si>
  <si>
    <t>ELV-INT1.2</t>
  </si>
  <si>
    <t>ELV-INT1.3</t>
  </si>
  <si>
    <t>ELV-INT2</t>
  </si>
  <si>
    <t>ELV-INT3</t>
  </si>
  <si>
    <t>ELV-INT4</t>
  </si>
  <si>
    <t>Ascensori e montacarichi (fino a 5 fermate)</t>
  </si>
  <si>
    <t>Ascensori e montacarichi (da 6 a 10 fermate)</t>
  </si>
  <si>
    <t>Ascensori e montacarichi (oltre le 11 fermate)</t>
  </si>
  <si>
    <t>Montascale e servoscale</t>
  </si>
  <si>
    <t>Piattaforme elevatrici</t>
  </si>
  <si>
    <t>Scale mobili e marciapiedi mobili</t>
  </si>
  <si>
    <t>ELV.AP.01-01
ELV.AP.01-02
ELV.AP.01-03
ELV.AP.01-04
ELV.AP.01-05
ELV.AP.01-06
ELV.AP.01-07
ELV.AP.01-08
ELV.AP.01-09
ELV.AP.01-10
ELV.AP.01-11
ELV.AP.01-12</t>
  </si>
  <si>
    <t>ELV.AP.02-01
ELV.AP.02-02
ELV.AP.02-03
ELV.AP.02-04
ELV.AP.02-05
ELV.AP.02-06
ELV.AP.02-07
ELV.AP.02-08</t>
  </si>
  <si>
    <t>ELV.AP.03-01
ELV.AP.03-02
ELV.AP.03-03
ELV.AP.03-04
ELV.AP.03-05
ELV.AP.03-06
ELV.AP.03-07
ELV.AP.03-08
ELV.AP.03-09</t>
  </si>
  <si>
    <t>ELV.AP.04-01
ELV.AP.04-02
ELV.AP.04-03
ELV.AP.04-04
ELV.AP.04-05
ELV.AP.04-06
ELV.AP.04-07
ELV.AP.04-08</t>
  </si>
  <si>
    <t>ELV-INT1</t>
  </si>
  <si>
    <t>ELV-INT5</t>
  </si>
  <si>
    <t>ELV-INT6</t>
  </si>
  <si>
    <t>Manutenzione preventiva atta a verificare il regolare funzionamento dei dispositivi meccanici, idraulici ed elettrici, a verificare lo stato di conservazione delle funi e delle catene, operazioni normali di pulizia e di lubrificazione delle parti</t>
  </si>
  <si>
    <t>Manutenzione preventiva atta a verificare il buono stato di conservazione di tutte le parti dell'impianto, con particolare riguardo alle catene ed agli organi della trasmissione</t>
  </si>
  <si>
    <t>Manutenzione degli impianti elevatori, determinato sul numero degli ascensori e montacarichi per fasce di numero di fermate</t>
  </si>
  <si>
    <t>ascensore e montacarichi</t>
  </si>
  <si>
    <t>montascala o servoscala</t>
  </si>
  <si>
    <t>piattaforma elevatrice</t>
  </si>
  <si>
    <t>rampa</t>
  </si>
  <si>
    <t>ANT-ORD1.1</t>
  </si>
  <si>
    <t>ANT-ORD1.2</t>
  </si>
  <si>
    <t>ANT-ORD2</t>
  </si>
  <si>
    <t>ANT-ORD3</t>
  </si>
  <si>
    <t>ANT-ORD4.1</t>
  </si>
  <si>
    <t>ANT-ORD4.2</t>
  </si>
  <si>
    <t>ANT-ORD4.3</t>
  </si>
  <si>
    <t>ANT-ORD5.1</t>
  </si>
  <si>
    <t>ANT-ORD5.2</t>
  </si>
  <si>
    <t>ANT-ORD6.1</t>
  </si>
  <si>
    <t>ANT-ORD6.2</t>
  </si>
  <si>
    <t>ANT-ORD7.1</t>
  </si>
  <si>
    <t>ANT-ORD7.2</t>
  </si>
  <si>
    <t>ANT-ORD8.1</t>
  </si>
  <si>
    <t>ANT-ORD8.2</t>
  </si>
  <si>
    <t>ANT-ORD9.1</t>
  </si>
  <si>
    <t>ANT-ORD9.2</t>
  </si>
  <si>
    <t>ANT-ORD10.1</t>
  </si>
  <si>
    <t>ANT-ORD10.2</t>
  </si>
  <si>
    <t>ANT-ORD11.1</t>
  </si>
  <si>
    <t>ANT-ORD11.2</t>
  </si>
  <si>
    <t>ANT-ORD12.1</t>
  </si>
  <si>
    <t>ANT-ORD12.2</t>
  </si>
  <si>
    <t>ANT-ORD13.1</t>
  </si>
  <si>
    <t>ANT-ORD13.2</t>
  </si>
  <si>
    <t>ANT-ORD14.1</t>
  </si>
  <si>
    <t>ANT-ORD14.2</t>
  </si>
  <si>
    <t>ANT-ORD15</t>
  </si>
  <si>
    <t>ANT-ORD16</t>
  </si>
  <si>
    <t>ANT-ORD17</t>
  </si>
  <si>
    <t>ANT-ORD18</t>
  </si>
  <si>
    <t>ANT-ORD19</t>
  </si>
  <si>
    <t>ANT-ORD20</t>
  </si>
  <si>
    <t>ANT-ORD21</t>
  </si>
  <si>
    <t>ANT-ORD22.1</t>
  </si>
  <si>
    <t>ANT-ORD22.2</t>
  </si>
  <si>
    <t>ANT-ORD23.1</t>
  </si>
  <si>
    <t>ANT-ORD23.2</t>
  </si>
  <si>
    <t>ANT-ORD24</t>
  </si>
  <si>
    <t>ANT-ORD25</t>
  </si>
  <si>
    <t>ANT-ORD26.1</t>
  </si>
  <si>
    <t>ANT-ORD26.2</t>
  </si>
  <si>
    <t>ANT-ORD26.3</t>
  </si>
  <si>
    <t>ANT-AGG1</t>
  </si>
  <si>
    <t>ANT-AGG2</t>
  </si>
  <si>
    <t>ANT-AGG3</t>
  </si>
  <si>
    <t>ANT-AGG4</t>
  </si>
  <si>
    <t>ANT-AGG5</t>
  </si>
  <si>
    <t>ANT-AGG6</t>
  </si>
  <si>
    <t>ANT-AGG7</t>
  </si>
  <si>
    <t>ANT-AGG8</t>
  </si>
  <si>
    <t>ANT-AGG9</t>
  </si>
  <si>
    <t>ANT-AGG10</t>
  </si>
  <si>
    <t>ANT-AGG11</t>
  </si>
  <si>
    <t>ANT-AGG12</t>
  </si>
  <si>
    <t>ANT-AGG13</t>
  </si>
  <si>
    <t>ANT-AGG14</t>
  </si>
  <si>
    <t>ANT-AGG15</t>
  </si>
  <si>
    <t>Gruppi di pompaggio</t>
  </si>
  <si>
    <t>ANT.AP.01-01</t>
  </si>
  <si>
    <t>Manutenzione dei Gruppi di pompaggio a servizio di un sistema fisso di spegnimento (controllo periodico settimanale, mensile, trimestrale, semestrale, annuale e triennale), determinato sulla base del numero dei Gruppi di pompaggio (indipendentemente dal numero di pompe)</t>
  </si>
  <si>
    <t>gruppo di pompaggio</t>
  </si>
  <si>
    <t>Manutenzione dei Gruppi di pompaggio a servizio di un sistema fisso di spegnimento (controllo periodico trimestrale, semestrale, annuale e triennale), determinato sulla base del numero dei Gruppi di pompaggio (indipendentemente dal numero di pompe)</t>
  </si>
  <si>
    <t>Serbatoi di accumulo</t>
  </si>
  <si>
    <t>ANT.AP.01-02</t>
  </si>
  <si>
    <t>Manutenzione dei Serbatoi di accumulo a servizio di un sistema fisso di spegnimento (controllo periodico trimestrale, annuale e triennale), determinato sulla base del numero dei serbatoi di accumulo</t>
  </si>
  <si>
    <t>serbatoio di accumulo</t>
  </si>
  <si>
    <t>Sistemi fissi automatici ad estinguenti ad acqua - Sprinkler</t>
  </si>
  <si>
    <t>ANT.AP.01-03</t>
  </si>
  <si>
    <t>Manutenzione della rete di distribuzione e degli ugelli di erogazione dei sistemi Sprinkler, determinato sulla base del numero degli ugelli di erogazione</t>
  </si>
  <si>
    <t>ugello</t>
  </si>
  <si>
    <t>Sistemi fissi automatici ad estinguenti gassosi</t>
  </si>
  <si>
    <t>ANT.AP.01-04</t>
  </si>
  <si>
    <t>Manutenzione dei Sistemi ad estinguenti gassosi (sorveglianza mensile e controllo periodico semestrale), determinati sulla base del numero di bombole</t>
  </si>
  <si>
    <t>bombola</t>
  </si>
  <si>
    <t>Manutenzione dei Sistemi ad estinguenti gassosi (controllo periodico semestrale), determinati sulla base del numero di bombole</t>
  </si>
  <si>
    <t>Manutenzione della rete di distribuzione e degli ugelli di erogazione dei sistemi ad estinguenti gassosi, determinato sulla base del numero degli ugelli di erogazione</t>
  </si>
  <si>
    <t>Idranti a muro</t>
  </si>
  <si>
    <t>ANT.AP.01–05
ANT.AP.01–08</t>
  </si>
  <si>
    <t>Manutenzione degli Idranti a muro (sorveglianza mensile, controllo periodico semestrale e controllo funzionale annuale tubazioni), determinato sulla base del numero di idranti</t>
  </si>
  <si>
    <t>idrante</t>
  </si>
  <si>
    <t>Manutenzione degli Idranti a muro (controllo periodico semestrale e controllo funzionale annuale tubazioni), determinato sulla base del numero di idranti</t>
  </si>
  <si>
    <t>Naspi antincendio</t>
  </si>
  <si>
    <t>ANT.AP.01–06
ANT.AP.01–08</t>
  </si>
  <si>
    <t>Manutenzione dei Naspi antincendio (sorveglianza mensile, controllo periodico semestrale e controllo funzionale annuale tubazioni), determinato sulla base del numero di naspi</t>
  </si>
  <si>
    <t>naspo</t>
  </si>
  <si>
    <t>Manutenzione dei Naspi antincendio (controllo periodico semestrale e controllo funzionale annuale tubazioni), determinato sulla base del numero di naspi</t>
  </si>
  <si>
    <t>Idranti soprasuolo e sottosuolo</t>
  </si>
  <si>
    <t>ANT.AP.01–07
ANT.AP.01–08</t>
  </si>
  <si>
    <t>Manutenzione degli Idranti soprasuolo e sottosuolo (sorveglianza mensile, controllo periodico semestrale e controllo funzionale annuale tubazioni), determinato sulla base del numero di idranti</t>
  </si>
  <si>
    <t>Manutenzione degli Idranti soprasuolo e sottosuolo (controllo periodico semestrale e controllo funzionale annuale tubazioni), determinato sulla base del numero di idranti</t>
  </si>
  <si>
    <t>Attacchi autopompa VVF</t>
  </si>
  <si>
    <t>ANT.AP.01–09</t>
  </si>
  <si>
    <t>Manutenzione degli Attacchi autopompa VVF (sorveglianza mensile, controllo periodico semestrale), determinato sulla base del numero di attacchi autopompa VVF</t>
  </si>
  <si>
    <t>attacco</t>
  </si>
  <si>
    <t>Manutenzione degli Attacchi autopompa VVF (controllo periodico semestrale), determinato sulla base del numero di attacchi autopompa VVF</t>
  </si>
  <si>
    <t>Estintori a polvere portatili - Controllo</t>
  </si>
  <si>
    <t>ANT.AP.02–01</t>
  </si>
  <si>
    <t>Manutenzione degli Estintori a polvere portatili (sorveglianza mensile e controllo periodico semestrale), determinato sulla base del numero di Estintori</t>
  </si>
  <si>
    <t>estintore</t>
  </si>
  <si>
    <t>Manutenzione degli Estintori a polvere portatili (controllo periodico semestrale), determinato sulla base del numero di Estintori</t>
  </si>
  <si>
    <t>Estintori a polvere carrellati - Controllo</t>
  </si>
  <si>
    <t>Manutenzione degli Estintori a polvere carrellati  (sorveglianza mensile e controllo periodico semestrale), determinato sulla base del numero di Estintori</t>
  </si>
  <si>
    <t>Manutenzione degli Estintori a polvere carrellati (controllo periodico semestrale), determinato sulla base del numero di Estintori</t>
  </si>
  <si>
    <t>Estintori a base d'acqua o schiuma portatili - Controllo</t>
  </si>
  <si>
    <t>ANT.AP.02–02</t>
  </si>
  <si>
    <t>Manutenzione degli Estintori a base d'acqua o schiuma portatili (sorveglianza mensile e controllo periodico semestrale), determinato sulla base del numero di Estintori</t>
  </si>
  <si>
    <t>Manutenzione degli Estintori a base d'acqua o schiuma portatili (controllo periodico semestrale), determinato sulla base del numero di Estintori</t>
  </si>
  <si>
    <t>Estintori a base d'acqua o schiuma carrellati - Controllo</t>
  </si>
  <si>
    <t>Manutenzione egli Estintori a base d'acqua o schiuma carrellati (sorveglianza mensile e controllo periodico semestrale), determinato sulla base del numero di Estintori</t>
  </si>
  <si>
    <t>Manutenzione egli Estintori a base d'acqua o schiuma carrellati (controllo periodico semestrale), determinato sulla base del numero di Estintori</t>
  </si>
  <si>
    <t>Estintori a biossido di carbonio portatili- Controllo</t>
  </si>
  <si>
    <t>ANT.AP.02–03</t>
  </si>
  <si>
    <t>Manutenzione degli Estintori a biossido di carbonio portatili (sorveglianza mensile e controllo periodico semestrale), determinato sulla base del numero di Estintori</t>
  </si>
  <si>
    <t>Manutenzione degli Estintori a biossido di carbonio portatili (controllo periodico semestrale), determinato sulla base del numero di Estintori</t>
  </si>
  <si>
    <t>Estintori a biossido di carbonio carrellati - Controllo</t>
  </si>
  <si>
    <t>Manutenzione  degli Estintori a biossido di carbonio carrellati (sorveglianza mensile e controllo periodico semestrale), determinato sulla base del numero di Estintori</t>
  </si>
  <si>
    <t>Manutenzione  degli Estintori a biossido di carbonio carrellati (controllo periodico semestrale), determinato sulla base del numero di Estintori</t>
  </si>
  <si>
    <t>Centrale di controllo e segnalazione</t>
  </si>
  <si>
    <t>ANT.AP 03-01</t>
  </si>
  <si>
    <t>Manutenzione della Centrale di controllo e segnalazione, determinato sulla base del numero di centrali di controllo e segnalazione dell'impianto di rivelazione e di segnalazione allarme incendio</t>
  </si>
  <si>
    <t>Sistemi fissi automatici di rivelazione d’incendio</t>
  </si>
  <si>
    <t>ANT.AP 03-02</t>
  </si>
  <si>
    <t>Manutenzione dei Sistemi fissi automatici di rivelazione d’incendio, determinato sulla base del numero di rilevatori</t>
  </si>
  <si>
    <t>rilevatore</t>
  </si>
  <si>
    <t>Sistemi fissi automatici di rivelazione di gas</t>
  </si>
  <si>
    <t>ANT.AP 03-03</t>
  </si>
  <si>
    <t>Manutenzione dei sistemi fissi automatici di rivelazione di gas, determinato sulla base del numero di rilevatori</t>
  </si>
  <si>
    <t>Sistemi di segnalazione d’allarme e di diffusione sonora</t>
  </si>
  <si>
    <t>ANT.AP 03-04
ANT.AP 03-05
ANT.AP 03-06</t>
  </si>
  <si>
    <t>Manutenzione dei Sistemi di segnalazione d’allarme e di diffusione sonora, determinato sulla base della superfice lorda dell'immobile</t>
  </si>
  <si>
    <t>Sistemi di evacuazione fumo e calore (SENFC e SEFFC)</t>
  </si>
  <si>
    <t>ANT.AP 04-01 
ANT.AP 04-02
ANT.AP 04-03
ANT.AP 04-04
ANT.AP 04-05
ANT.AP 04-06</t>
  </si>
  <si>
    <t xml:space="preserve">Manutenzione dei Sistemi di evacuazione di fumo e calore (SENFC e SEFFC), determinato sulla base del numero di evacuatori </t>
  </si>
  <si>
    <t>evacuatore</t>
  </si>
  <si>
    <t>Infissi motorizzati</t>
  </si>
  <si>
    <t>ANT.AP 04-07</t>
  </si>
  <si>
    <t>Manutenzione degli Infissi motorizzati, determinato sulla base del numero di infissi motorizzati</t>
  </si>
  <si>
    <t>infisso</t>
  </si>
  <si>
    <t>Sistemi di pressurizzazione d'aria</t>
  </si>
  <si>
    <t>ANT.AP 04-08</t>
  </si>
  <si>
    <t>Manutenzione dei Sistemi di pressurizzazione d'aria, determinato sulla base del numero di pressurizzatori</t>
  </si>
  <si>
    <t>sistema</t>
  </si>
  <si>
    <t>Porte tagliafuoco e lungo le vie di esodo (1 o 2 ante)</t>
  </si>
  <si>
    <t>ANT.AP 05-01</t>
  </si>
  <si>
    <t xml:space="preserve">Manutenzione delle Porte tagliafuoco e lungo le vie di esodo (sorveglianza mensile e controllo periodico semestrale), determinato sulla base del numero di porte </t>
  </si>
  <si>
    <t xml:space="preserve">Manutenzione delle Porte tagliafuoco e lungo le vie di esodo (controllo periodico semestrale), determinato sulla base del numero di porte </t>
  </si>
  <si>
    <t>Portoni tagliafuoco e lungo le vie di esodo (scorrevoli o girevoli)</t>
  </si>
  <si>
    <t>ANT.AP 05-02</t>
  </si>
  <si>
    <t>Manutenzione dei Portoni tagliafuoco e lungo le vie di esodo (sorveglianza mensile e controllo periodico semestrale), determinato sulla base del numero di portoni</t>
  </si>
  <si>
    <t>Manutenzione dei Portoni tagliafuoco e lungo le vie di esodo (controllo periodico semestrale), determinato sulla base del numero di portoni</t>
  </si>
  <si>
    <t>Sistemi fissi di compartimentazione</t>
  </si>
  <si>
    <t>ANT.AP 05-03
ANT.AP 05-04
ANT.AP 05-05
ANT.AP 05-06
ANT.AP 05-07
ANT.AP 05-08</t>
  </si>
  <si>
    <t>Manutenzione di tutti Sistemi fissi di compartimentazione, determinato sulla base della superficie lorda dell'immobile</t>
  </si>
  <si>
    <t>Impianto di illuminazione di emergenza</t>
  </si>
  <si>
    <t>ANT.AP 06-01
ANT.AP 06-02</t>
  </si>
  <si>
    <t>Manutenzione dell'Impianto di illuminazione di emergenza, determinato sulla base della superficie lorda dell'immobile</t>
  </si>
  <si>
    <t>Armadio DPI - Attività a rischio Basso</t>
  </si>
  <si>
    <t>ANT.AP 07-01
ANT.AP 07-02
ANT.AP 07-03
ANT.AP 07-04
ANT.AP 07-05
ANT.AP 07-06
ANT.AP 07-07</t>
  </si>
  <si>
    <t>Manutenzione dell'armadio DPI - Attività a rischio Basso, determinato sulla base del numero di armadi</t>
  </si>
  <si>
    <t>armadio DPI</t>
  </si>
  <si>
    <t>Armadio DPI - Attività a rischio Medio</t>
  </si>
  <si>
    <t>Manutenzione dell'armadio DPI - Attività a rischio Medio, determinato sulla base del numero di armadi</t>
  </si>
  <si>
    <t>Armadio DPI - Attività a rischio Alto</t>
  </si>
  <si>
    <t>Manutenzione dell'armadio DPI - Attività a rischio Alto, determinato sulla base del numero di armadi</t>
  </si>
  <si>
    <t xml:space="preserve">Sistemi fissi automatici ad estinguenti gassosi - Gruppo bombole - Revisione e collaudo </t>
  </si>
  <si>
    <t>ANT.AG-01</t>
  </si>
  <si>
    <t>Revisione e collaudo del gruppo bombole, comprensivo di sostituzione estinguente e sostituzione componentistica, determinato sulla base della capacità in litri delle bombole</t>
  </si>
  <si>
    <t>Sistemi fissi automatici ad estinguenti gassosi - Door Fan integrity test</t>
  </si>
  <si>
    <t>ANT.AG-02</t>
  </si>
  <si>
    <t>Prova di tenuta locali impianti ad estinguenti gassosi (Door Fan integrity test), determinato sula base del numero di locali protetti</t>
  </si>
  <si>
    <t>Tubazioni - Collaudo periodico quinquennale</t>
  </si>
  <si>
    <t>ANT.AG-03</t>
  </si>
  <si>
    <t xml:space="preserve">Collaudo periodico delle tubazioni flessibili e semirigide, determinato sulla base del numero di tubazioni di idranti e naspi </t>
  </si>
  <si>
    <t>Estintori a polvere portatili - Revisione</t>
  </si>
  <si>
    <t>ANT.AG-04</t>
  </si>
  <si>
    <t>Revisione degli Estintori a polvere portatili compresa la sostituzione dell'estinguente e della componentistica</t>
  </si>
  <si>
    <t>Estintori a polvere carrellati - Revisione</t>
  </si>
  <si>
    <t>Revisione degli Estintori a polvere carrellati compresa la sostituzione dell'estinguente e della componentistica</t>
  </si>
  <si>
    <t>Estintori a base d'acqua o schiuma portatili - Revisione</t>
  </si>
  <si>
    <t>ANT.AG-05</t>
  </si>
  <si>
    <t>Revisione degli Estintori a base d'acqua o schiuma portatili compresa la sostituzione dell'estinguente e della componentistica</t>
  </si>
  <si>
    <t>Estintori a base d'acqua o schiuma carrellati - Revisione</t>
  </si>
  <si>
    <t>Revisione degli Estintori a base d'acqua o schiuma carrellati compresa la sostituzione dell'estinguente e della componentistica</t>
  </si>
  <si>
    <t>Estintori a biossido di carbonio portatili - Revisione</t>
  </si>
  <si>
    <t>ANT.AG-06</t>
  </si>
  <si>
    <t>Revisione degli Estintori a biossido di carbonio portatili compresa la sostituzione dell'estinguente e della componentistica</t>
  </si>
  <si>
    <t>Estintori a biossido di carbonio carrellati - Revisione</t>
  </si>
  <si>
    <t>Revisione degli Estintori a biossido di carbonio carrellati compresa la sostituzione dell'estinguente e della componentistica</t>
  </si>
  <si>
    <t>Estintori a polvere portatili - Collaudo</t>
  </si>
  <si>
    <t>ANT.AG-07</t>
  </si>
  <si>
    <t>Collaudo degli Estintori a polvere portatili compresa la sostituzione dell'estinguente e della componentistica</t>
  </si>
  <si>
    <t>Estintori a polvere carrellati - Collaudo</t>
  </si>
  <si>
    <t>Collaudo degli Estintori a polvere carrellati compresa la sostituzione dell'estinguente e della componentistica</t>
  </si>
  <si>
    <t>Estintori a base d'acqua o schiuma portatili - Collaudo</t>
  </si>
  <si>
    <t>ANT.AG-08</t>
  </si>
  <si>
    <t>Collaudo degli Estintori a base d'acqua o schiuma portatili compresa la sostituzione dell'estinguente e della componentistica</t>
  </si>
  <si>
    <t>Estintori a base d'acqua o schiuma carrellati - Collaudo</t>
  </si>
  <si>
    <t>Collaudo degli Estintori a base d'acqua o schiuma carrellati compresa la sostituzione dell'estinguente e della componentistica</t>
  </si>
  <si>
    <t>Estintori a biossido di carbonio portatili- Collaudo</t>
  </si>
  <si>
    <t>ANT.AG-09</t>
  </si>
  <si>
    <t>Collaudo degli Estintori a biossido di carbonio portatili compresa la sostituzione  dell'estinguente e della componentistica</t>
  </si>
  <si>
    <t>Estintori a biossido di carbonio carrellati - Collaudo</t>
  </si>
  <si>
    <t>Collaudo degli Estintori a biossido di carbonio carrellati compresa la sostituzione dell'estinguente e della componentistica</t>
  </si>
  <si>
    <t>SPE-ORD1</t>
  </si>
  <si>
    <t>Impianto antintrusione</t>
  </si>
  <si>
    <t>SPE.AP.01-01 
SPE.AP.01-02
SPE.AP.01-03
SPE.AP.01-04
SPE.AP.01-05
SPE.AP.01-06
SPE.AP.01-07</t>
  </si>
  <si>
    <t>Manutenzione dell'Impianto antintrusione, comprensiva di tutti gli apparati e accessori, determinato sulla base della superfice lorda dell'immobile</t>
  </si>
  <si>
    <t>mq sup lorda</t>
  </si>
  <si>
    <t>SPE-ORD2</t>
  </si>
  <si>
    <t>Accessi</t>
  </si>
  <si>
    <t>SPE.AP.02-01
SPE.AP.02-02
SPE.AP.02-03
SPE.AP.02-04
SPE.AP.02-05</t>
  </si>
  <si>
    <t>Manutenzione degli Accessi (lettori di badge per porte, serrature a codici per porte, ecc), comprensiva di tutti gli apparati e accessori, determinato sulla base del numero di unità</t>
  </si>
  <si>
    <t>SPE-ORD3</t>
  </si>
  <si>
    <t>Varchi pedonali</t>
  </si>
  <si>
    <t>SPE.AP.02-01
SPE.AP.02-02
SPE.AP.02-03
SPE.AP.02-04
SPE.AP.02-06</t>
  </si>
  <si>
    <t>Manutenzione dei Varchi pedonali (tornelli, barriere fisiche e varchi, ecc.), comprensiva di tutti gli apparati e accessori, determinato sulla base del numero di varchi</t>
  </si>
  <si>
    <t>varco</t>
  </si>
  <si>
    <t>SPE-ORD4</t>
  </si>
  <si>
    <t>Metal detector</t>
  </si>
  <si>
    <t>SPE.AP.02-01
SPE.AP.02-02
SPE.AP.02-03
SPE.AP.02-04
SPE.AP.02-07</t>
  </si>
  <si>
    <t>Manutenzione dei Metal detector, comprensiva di tutti gli apparati e accessori, determinato sulla base del numero di unità</t>
  </si>
  <si>
    <t>metal detector</t>
  </si>
  <si>
    <t>SPE-ORD5</t>
  </si>
  <si>
    <t>Accessi pedonali esterni e/o interni motorizzati</t>
  </si>
  <si>
    <t>SPE.AP.03-01</t>
  </si>
  <si>
    <t>Manutenzione degli Accessi pedonali esterni e/o interni motorizzati (porte automatiche, bussole, ecc.), comprensiva di tutti gli apparati e accessori, determinato sulla base del numero di accessi</t>
  </si>
  <si>
    <t>accesso pedonale</t>
  </si>
  <si>
    <t>SPE-ORD6</t>
  </si>
  <si>
    <t>Passi carrabili motorizzati</t>
  </si>
  <si>
    <t>SPE.AP.03-02</t>
  </si>
  <si>
    <t>Manutenzione di Passi carrabili motorizzati (cancelli, barriere veicolari, ecc.), comprensiva di tutti gli apparati e accessori, determinato sulla base del numero di passi carrabili</t>
  </si>
  <si>
    <t>passo carrabile</t>
  </si>
  <si>
    <t>SPE-ORD7</t>
  </si>
  <si>
    <t>Dissuasori mobili a scomparsa</t>
  </si>
  <si>
    <t>SPE.AP.03-03</t>
  </si>
  <si>
    <t>Manutenzione di Dissuasori mobili a scomparsa, comprensiva di tutti gli apparati e accessori, determinato sulla base del numero di dissuasori</t>
  </si>
  <si>
    <t>dissuasore</t>
  </si>
  <si>
    <t>SPE-ORD8</t>
  </si>
  <si>
    <t>Impianto di videosorveglianza</t>
  </si>
  <si>
    <t>SPE.AP.04-01
SPE.AP.04-02
SPE.AP.04-03
SPE.AP.04-04
SPE.AP.04-05
SPE.AP.04-06</t>
  </si>
  <si>
    <t>Manutenzione dell'Impianto di videosorveglianza, comprensiva di tutti gli apparati e accessori, determinato sulla base del numero di apparecchi ottici</t>
  </si>
  <si>
    <t>apparecchio di ripresa ottico</t>
  </si>
  <si>
    <t>SPE-ORD9</t>
  </si>
  <si>
    <t>Impianto interfonico e diffusione sonora</t>
  </si>
  <si>
    <t>SPE.AP.05-01
SPE.AP.05-02
SPE.AP.05-03
SPE.AP.05-04
SPE.AP.05-05
SPE.AP.05-06
SPE.AP.05-07</t>
  </si>
  <si>
    <t>Manutenzione dell'Impianto interfonico e diffusione sonora (ad esclusione della diffusione sonora antincendio trattata in voce dedicata nell'impianto antincendio), comprensiva di tutti gli apparati e accessori, determinato sulla base della superfice lorda dell'immobile</t>
  </si>
  <si>
    <t>SPE-ORD10</t>
  </si>
  <si>
    <t>Impianto di trasmissione dati</t>
  </si>
  <si>
    <t>SPE.AP.06-01 
SPE.AP.06-02
SPE.AP.06-03
SPE.AP.06-04
SPE.AP.06-05
SPE.AP.06-06
SPE.AP.06-07
SPE.AP.06-08</t>
  </si>
  <si>
    <t>Manutenzione dell'Impianto di trasmissione dati, comprensiva di tutti gli apparati e accessori, determinato sulla base della superfice lorda dell'immobile</t>
  </si>
  <si>
    <t>SPE-ORD11</t>
  </si>
  <si>
    <t>Impianto telefonico e videocitofonico</t>
  </si>
  <si>
    <t>SPE.AP.07-01
SPE.AP.07-02
SPE.AP.07-03
SPE.AP.07-04</t>
  </si>
  <si>
    <t>Manutenzione dell'Impianto telefonico e videocitofonico, comprensiva di tutti gli apparati e accessori, determinato sulla base della superfice lorda dell'immobile</t>
  </si>
  <si>
    <t>SPE-ORD12</t>
  </si>
  <si>
    <t>Impianto di ricezione segnali</t>
  </si>
  <si>
    <t>SPE.AP.08-01
SPE.AP.08-02
SPE.AP.08-03
SPE.AP.08-04
SPE.AP.08-05</t>
  </si>
  <si>
    <t>Manutenzione dell'Impianto di ricezione segnali, comprensiva di tutti gli apparati e accessori, determinato sulla base della superfice lorda dell'immobile</t>
  </si>
  <si>
    <t>Manutenzione ordinaria - Impianti Antincendio</t>
  </si>
  <si>
    <t>Manutenzione ordinaria - Impianti Speciali</t>
  </si>
  <si>
    <t>Attività ordinarie - Presidio Tecnologico</t>
  </si>
  <si>
    <t>Codice prezzo/Codice attività</t>
  </si>
  <si>
    <t>PTEC-ORD1</t>
  </si>
  <si>
    <t>ora</t>
  </si>
  <si>
    <t>PTEC-ORD2</t>
  </si>
  <si>
    <t>PTEC-ORD3</t>
  </si>
  <si>
    <t>Attività di base - Pulizia</t>
  </si>
  <si>
    <t>Componente</t>
  </si>
  <si>
    <t>Area Omogenea</t>
  </si>
  <si>
    <t>Frequenza</t>
  </si>
  <si>
    <t>Area tipo 1 - Uffici</t>
  </si>
  <si>
    <t>Area tipo 2 - Spazi connettivi</t>
  </si>
  <si>
    <t>Area tipo 3 - Servizi igienici</t>
  </si>
  <si>
    <t>Area tipo 4 - Aree tecniche</t>
  </si>
  <si>
    <t>Area tipo 5 - Aree polifunzionali</t>
  </si>
  <si>
    <t>Area tipo 6 - Mense</t>
  </si>
  <si>
    <t>Area tipo 7 - Cucine</t>
  </si>
  <si>
    <t>Area tipo 8 - Aule didattiche</t>
  </si>
  <si>
    <t>Area tipo 9 - Corpi di guardia</t>
  </si>
  <si>
    <t>Area tipo 10 - Camere di sicurezza</t>
  </si>
  <si>
    <t>Area tipo 11 - Biblioteche e sale di lettura</t>
  </si>
  <si>
    <t>Area tipo 12 - Aree esterne</t>
  </si>
  <si>
    <t>PB1-1</t>
  </si>
  <si>
    <t>PB1-2</t>
  </si>
  <si>
    <t>PB1-3</t>
  </si>
  <si>
    <t>PB1-4</t>
  </si>
  <si>
    <t>PB1-5</t>
  </si>
  <si>
    <t>PB2-1</t>
  </si>
  <si>
    <t>PB2-2</t>
  </si>
  <si>
    <t>PB2-3</t>
  </si>
  <si>
    <t>PB-3-1</t>
  </si>
  <si>
    <t>PB-3-2</t>
  </si>
  <si>
    <t>PB-3-3</t>
  </si>
  <si>
    <t>PB-3-4</t>
  </si>
  <si>
    <t>PB-3-5</t>
  </si>
  <si>
    <t>PB-3-6</t>
  </si>
  <si>
    <t>PB-3-7</t>
  </si>
  <si>
    <t>PB-4-1</t>
  </si>
  <si>
    <t>PB-4-2</t>
  </si>
  <si>
    <t>PB5-1</t>
  </si>
  <si>
    <t>PB5-2</t>
  </si>
  <si>
    <t>PB5-3</t>
  </si>
  <si>
    <t>PB5-4</t>
  </si>
  <si>
    <t>PB5-5</t>
  </si>
  <si>
    <t>PB5-6</t>
  </si>
  <si>
    <t>PB5-7</t>
  </si>
  <si>
    <t>PB6-1</t>
  </si>
  <si>
    <t>PB6-2</t>
  </si>
  <si>
    <t>PB6-3</t>
  </si>
  <si>
    <t>PB6-4</t>
  </si>
  <si>
    <t>PB6-5</t>
  </si>
  <si>
    <t>PB6-6</t>
  </si>
  <si>
    <t>PB7-1</t>
  </si>
  <si>
    <t>PB7-2</t>
  </si>
  <si>
    <t>PB8-1</t>
  </si>
  <si>
    <t>PB8-2</t>
  </si>
  <si>
    <t>PB8-3</t>
  </si>
  <si>
    <t>PB8-4</t>
  </si>
  <si>
    <t>PB8-5</t>
  </si>
  <si>
    <t>PB8-6</t>
  </si>
  <si>
    <t>PB8-7</t>
  </si>
  <si>
    <t>PB8-8</t>
  </si>
  <si>
    <t>PB9-1</t>
  </si>
  <si>
    <t>PB9-2</t>
  </si>
  <si>
    <t>PB9-3</t>
  </si>
  <si>
    <t>PB9-4</t>
  </si>
  <si>
    <t>PB10-1</t>
  </si>
  <si>
    <t>PB10-2</t>
  </si>
  <si>
    <t>PB11-1</t>
  </si>
  <si>
    <t>PB11-2</t>
  </si>
  <si>
    <t>PB11-3</t>
  </si>
  <si>
    <t>PB11-4</t>
  </si>
  <si>
    <t>PB11-5</t>
  </si>
  <si>
    <t>PB11-6</t>
  </si>
  <si>
    <t>PB12-1</t>
  </si>
  <si>
    <t>Pavimenti</t>
  </si>
  <si>
    <t>Arredi</t>
  </si>
  <si>
    <t>Porte</t>
  </si>
  <si>
    <t>Finestre e Portefinestre</t>
  </si>
  <si>
    <t>Cestini</t>
  </si>
  <si>
    <t>Sanitari, specchio,  zone sanitari, rubinetteria, ecc.</t>
  </si>
  <si>
    <t>Scopatura a umido</t>
  </si>
  <si>
    <t>Lavaggio</t>
  </si>
  <si>
    <t>Pulizia della postazione di lavoro (scrivania, sedia, telefono, pc, stampante, poggiapiedi, cestino)</t>
  </si>
  <si>
    <t>Spolveratura e rimozione impronte con panno umido</t>
  </si>
  <si>
    <t>Lavaggio con vello e stecca tergivetro ambedue i lati (accessibili dall'interno)</t>
  </si>
  <si>
    <t>Svuotamento cestini e sostituzione sacchetto portarifiuti</t>
  </si>
  <si>
    <t>Lavaggio con vello e stecca tergivetro</t>
  </si>
  <si>
    <t>Detersione e disinfezione</t>
  </si>
  <si>
    <t>Disincrostazione del lavabo, tazza wc (interno ed esterno), orinatoi, rubinetterie e delle zone sanitari</t>
  </si>
  <si>
    <t>Spolveratura e rimozione macchie e impronte con panno umido su ribaltina</t>
  </si>
  <si>
    <t>Spolveratura e rimozione macchie e impronte di tavoli con panno umido</t>
  </si>
  <si>
    <t>Spolveratura e rimozione macchie e impronte di sedie con panno umido</t>
  </si>
  <si>
    <t>Asportazione rifiuti e lavaggio del tavolo, spolveratura e rimozione macchie e impronte con panno umido</t>
  </si>
  <si>
    <t>Pulizia con panno umido delle lavagne</t>
  </si>
  <si>
    <t>Spolveratura e rimozione macchie e impronte di sedie, banchi, scrivanie con panno umido</t>
  </si>
  <si>
    <t>Spolveratura e rimozione di macchie e impronte esterna di arredi, altezza operatore(armadi, armadietti, scaffalature), con panno umido</t>
  </si>
  <si>
    <t>Spolveratura e rimozione di macchie e impronte esterna di arredi, altezza operatore (armadi, armadietti, scaffalature), con panno umido</t>
  </si>
  <si>
    <t>Spazzatura sporco grossolano</t>
  </si>
  <si>
    <t>G</t>
  </si>
  <si>
    <t>S/3</t>
  </si>
  <si>
    <t>M</t>
  </si>
  <si>
    <t>6M</t>
  </si>
  <si>
    <t>S/2</t>
  </si>
  <si>
    <t>3M</t>
  </si>
  <si>
    <t>S</t>
  </si>
  <si>
    <t>mq sup. da trattare</t>
  </si>
  <si>
    <t>punto</t>
  </si>
  <si>
    <t>Pareti lavabili</t>
  </si>
  <si>
    <t xml:space="preserve">Punti luce </t>
  </si>
  <si>
    <t>Davanzali interni</t>
  </si>
  <si>
    <t>Davanzali esterni accessibili solo dall'interno</t>
  </si>
  <si>
    <t>Terminali impiantistici</t>
  </si>
  <si>
    <t>Barriere antisporco</t>
  </si>
  <si>
    <t>Soffitti</t>
  </si>
  <si>
    <t>Collegamenti verticali</t>
  </si>
  <si>
    <t>Punti di raccolta rifiuti</t>
  </si>
  <si>
    <t>Altre</t>
  </si>
  <si>
    <t>PP-1</t>
  </si>
  <si>
    <t>PP-2</t>
  </si>
  <si>
    <t>PP-3</t>
  </si>
  <si>
    <t>PP-4</t>
  </si>
  <si>
    <t>PP-5</t>
  </si>
  <si>
    <t>PP-6</t>
  </si>
  <si>
    <t>PP-7</t>
  </si>
  <si>
    <t>PP-8</t>
  </si>
  <si>
    <t>PP-9</t>
  </si>
  <si>
    <t>PP-10</t>
  </si>
  <si>
    <t>PP-11</t>
  </si>
  <si>
    <t>PP-12</t>
  </si>
  <si>
    <t>PP-13</t>
  </si>
  <si>
    <t>PP-14</t>
  </si>
  <si>
    <t>PP-15</t>
  </si>
  <si>
    <t>PP-16</t>
  </si>
  <si>
    <t>PP-17</t>
  </si>
  <si>
    <t>PP-18</t>
  </si>
  <si>
    <t>PP-19</t>
  </si>
  <si>
    <t>PP-20</t>
  </si>
  <si>
    <t>PP-21</t>
  </si>
  <si>
    <t>PP-22</t>
  </si>
  <si>
    <t>PP-23</t>
  </si>
  <si>
    <t>PP-24</t>
  </si>
  <si>
    <t>PP-25</t>
  </si>
  <si>
    <t>PP-26</t>
  </si>
  <si>
    <t>PP-27</t>
  </si>
  <si>
    <t>PP-28</t>
  </si>
  <si>
    <t>PP-29</t>
  </si>
  <si>
    <t>PP-30</t>
  </si>
  <si>
    <t>PP-31</t>
  </si>
  <si>
    <t>PP-32</t>
  </si>
  <si>
    <t>PP-33</t>
  </si>
  <si>
    <t>PP-34</t>
  </si>
  <si>
    <t>PP-35</t>
  </si>
  <si>
    <t>PP-36</t>
  </si>
  <si>
    <t>PP-37</t>
  </si>
  <si>
    <t>PP-38</t>
  </si>
  <si>
    <t>PP-39</t>
  </si>
  <si>
    <t>PP-40</t>
  </si>
  <si>
    <t>PP-41</t>
  </si>
  <si>
    <t>PP-42</t>
  </si>
  <si>
    <t>PP-43</t>
  </si>
  <si>
    <t>PP-44</t>
  </si>
  <si>
    <t>PP-45</t>
  </si>
  <si>
    <t>PP-46</t>
  </si>
  <si>
    <t>PP-47</t>
  </si>
  <si>
    <t>PP-48</t>
  </si>
  <si>
    <t>PP- da 49 a 62</t>
  </si>
  <si>
    <t>Cristallizzazione totale dei pavimenti calcarei</t>
  </si>
  <si>
    <t>Deceratura</t>
  </si>
  <si>
    <t>Inceratura dei pavimenti trattati con cere</t>
  </si>
  <si>
    <t>Svuotamento, lavaggio con spugna e asciugatura con panno</t>
  </si>
  <si>
    <t>Aspirazione sedie in tessuto</t>
  </si>
  <si>
    <t>Lavaggio vetri (armadi con vetri)</t>
  </si>
  <si>
    <t>Lavaggio tavoli e scrivanie</t>
  </si>
  <si>
    <t>Lavaggio sedie</t>
  </si>
  <si>
    <t>Pulizia e lavaggio, interno/esterno di bacheche</t>
  </si>
  <si>
    <t>Smacchiatura di sedie in tessuto</t>
  </si>
  <si>
    <t>Spolveratura e rimozione macchie e impronte di sedie, banchi, scrivanie con panno umido - Area Omogenea 8</t>
  </si>
  <si>
    <t>Spolveratura e rimozione macchie e impronte di tavoli / banchi / scrivanie</t>
  </si>
  <si>
    <t>Spolveratura e rimozione macchie e impronte con panno umido da piantane</t>
  </si>
  <si>
    <t>Spolveratura e rimozione di macchi e impronte con panno umido da mensole</t>
  </si>
  <si>
    <t>Rimozione macchie e impronte con panno umido da vetrate interne (interventi localizzati)</t>
  </si>
  <si>
    <t>Lavaggio pareti in vetro</t>
  </si>
  <si>
    <t>Rimozione impronte con panno o spugna ed abrasivo</t>
  </si>
  <si>
    <t>Aspirazione, rimozione per il lavaggio, lavaggio con spugna e asciugatura con panno, riposizionamento dopo il lavaggio di tende in tessuto</t>
  </si>
  <si>
    <t>Lavaggio con spazzola e asciugatura con panno di tapparelle avvolgibili, persiane, tende alla veneziana</t>
  </si>
  <si>
    <t>Lavaggio con panno umido</t>
  </si>
  <si>
    <t>Spolveratura con panno umido</t>
  </si>
  <si>
    <t>Spolveratura, lavaggio e asciugatura con panno</t>
  </si>
  <si>
    <t>Lavaggio con spugna e asciugatura con panno di aeratori</t>
  </si>
  <si>
    <t xml:space="preserve">Lavaggio con spugna e asciugatura con panno di Termosifoni </t>
  </si>
  <si>
    <t>Lavaggio con panno, panno TNT, panno carta di unità di condizionamento</t>
  </si>
  <si>
    <t>Spolveratura e rimozione macchie e impronte con panno umido</t>
  </si>
  <si>
    <t>Deragnatura</t>
  </si>
  <si>
    <t>Lavaggio di scale (gradino compreso laterali ed alzata)</t>
  </si>
  <si>
    <t>Scopatura a umido e lavaggio pavimenti con rimozione impronte e macchie di ascensori</t>
  </si>
  <si>
    <t>Spolveratura con panno umido di ringhiere e corrimano</t>
  </si>
  <si>
    <t>Scopatura a umido di scale (gradino compreso laterali ed alzata)</t>
  </si>
  <si>
    <t>Sanificazione</t>
  </si>
  <si>
    <t>Quantità per UdM</t>
  </si>
  <si>
    <t>N° interventi anno</t>
  </si>
  <si>
    <t>Attività a Richiesta Programmabili - Pulizia</t>
  </si>
  <si>
    <t>Attività ordinarie - Presidio Pulizia</t>
  </si>
  <si>
    <t>PPUL-ORD1</t>
  </si>
  <si>
    <t>PPUL-ORD2</t>
  </si>
  <si>
    <t>PPUL-ORD3</t>
  </si>
  <si>
    <t>Attività di Base - Derattizzazione e disinfestazione</t>
  </si>
  <si>
    <t>DB-1</t>
  </si>
  <si>
    <t>DB-2</t>
  </si>
  <si>
    <t>DB-3</t>
  </si>
  <si>
    <t>DB-4</t>
  </si>
  <si>
    <t>DB-5</t>
  </si>
  <si>
    <t>DB-6</t>
  </si>
  <si>
    <t>DB-7</t>
  </si>
  <si>
    <t>DB-8</t>
  </si>
  <si>
    <t>DB-9</t>
  </si>
  <si>
    <t>DB-10</t>
  </si>
  <si>
    <t>DB-11</t>
  </si>
  <si>
    <t>Attività di Base</t>
  </si>
  <si>
    <t>Intervento</t>
  </si>
  <si>
    <t>n° di interventi</t>
  </si>
  <si>
    <t>Derattizzazione</t>
  </si>
  <si>
    <t>Ispezione</t>
  </si>
  <si>
    <t>Una tantum</t>
  </si>
  <si>
    <t>Installazione contenitori esca e trappole</t>
  </si>
  <si>
    <t>Controllo e monitoraggio: controllo delle esche e trappole</t>
  </si>
  <si>
    <t>1 volta al mese</t>
  </si>
  <si>
    <t>Deblattizzazione</t>
  </si>
  <si>
    <t>Disinfestazione da insetti striscianti ed altri artropodi - Aree interne</t>
  </si>
  <si>
    <t>Installazione contenitori esche/trappole</t>
  </si>
  <si>
    <t>Disinfestazione da insetti striscianti ed altri artropodi - Aree esterne</t>
  </si>
  <si>
    <t>Controllo e monitoraggio: controllo delle trappole</t>
  </si>
  <si>
    <t>Disinfestazione da zanzare, pappataci, simulidi</t>
  </si>
  <si>
    <t>Interventi antilarvali</t>
  </si>
  <si>
    <t>2 volte al mese
(da marzo a settembre)</t>
  </si>
  <si>
    <t>Interventi adulticida</t>
  </si>
  <si>
    <t>2 volte al mese
(da giugno a ottobre)</t>
  </si>
  <si>
    <t>Disinfezione da ditteri</t>
  </si>
  <si>
    <t>Posizionamento e installazione di lampade</t>
  </si>
  <si>
    <t>Controllo e sostituzione collante</t>
  </si>
  <si>
    <t>Trattamento deterrente da rettili</t>
  </si>
  <si>
    <t>Deposizione disabituante</t>
  </si>
  <si>
    <t>1 volta ogni sei mesi</t>
  </si>
  <si>
    <t xml:space="preserve">Disinfestazione da processionarie del Pino </t>
  </si>
  <si>
    <t>da 1 a 5 pini</t>
  </si>
  <si>
    <t>1 volta all'anno</t>
  </si>
  <si>
    <t>da 6 a 10 pini</t>
  </si>
  <si>
    <t>oltre 10 pini</t>
  </si>
  <si>
    <t>Attività a Richiesta Programmabili - Derattizzazione e disinfestazione</t>
  </si>
  <si>
    <t>Attività a Rcihiesta Programmabile</t>
  </si>
  <si>
    <t>DP-1</t>
  </si>
  <si>
    <t>DP-2</t>
  </si>
  <si>
    <t>Intervento (posizionamento e installazione di trappole e successivi 2 monitoraggi)</t>
  </si>
  <si>
    <t>DP-3</t>
  </si>
  <si>
    <t>Disinfestazione da insetti striscianti ed altri artropodi</t>
  </si>
  <si>
    <t>Aree interne: intervento (posizionamento e installazione di esche e trappole e successivi 2 monitoraggi)</t>
  </si>
  <si>
    <t>DP-4</t>
  </si>
  <si>
    <t>Aree esterne: intervento (posizionamento e installazione di esche in granuli e successivi 2 monitoraggi)</t>
  </si>
  <si>
    <t>DP-5</t>
  </si>
  <si>
    <t>DP-6</t>
  </si>
  <si>
    <t>Attività ordinarie - Raccolta e conferimento a smaltimento rifiuti speciali</t>
  </si>
  <si>
    <t>Codice CER</t>
  </si>
  <si>
    <t>SRB-ORD1</t>
  </si>
  <si>
    <t>Prezzo trasporto (prezzo di n. 1 viaggio)</t>
  </si>
  <si>
    <t>SRR-ORD1</t>
  </si>
  <si>
    <t>08 03 17*</t>
  </si>
  <si>
    <t>Toner per stampa esauriti, contenenti sostanze pericolose</t>
  </si>
  <si>
    <t>SRR-ORD2</t>
  </si>
  <si>
    <t>08 03 18</t>
  </si>
  <si>
    <t>Toner per stampa esauriti, diversi da quelli di cui alla voce 08 03 17</t>
  </si>
  <si>
    <t>SRR-ORD3</t>
  </si>
  <si>
    <t>SRR-ORD4</t>
  </si>
  <si>
    <t>15 01 01</t>
  </si>
  <si>
    <t>Imballaggi in carta e cartone</t>
  </si>
  <si>
    <t>SRR-ORD5</t>
  </si>
  <si>
    <t>15 01 02</t>
  </si>
  <si>
    <t>Imballaggi in plastica</t>
  </si>
  <si>
    <t>SRR-ORD6</t>
  </si>
  <si>
    <t>15 01 03</t>
  </si>
  <si>
    <t>Imballaggi in legno</t>
  </si>
  <si>
    <t>SRR-ORD7</t>
  </si>
  <si>
    <t>15 01 04</t>
  </si>
  <si>
    <t>Imballaggi metallici</t>
  </si>
  <si>
    <t>SRR-ORD8</t>
  </si>
  <si>
    <t>15 01 05</t>
  </si>
  <si>
    <t>Imballaggi in materiali compositi</t>
  </si>
  <si>
    <t>SRR-ORD9</t>
  </si>
  <si>
    <t>15 01 06</t>
  </si>
  <si>
    <t>Imballaggi in materiali misti</t>
  </si>
  <si>
    <t>SRR-ORD10</t>
  </si>
  <si>
    <t>15 01 07</t>
  </si>
  <si>
    <t>Imballaggi in vetro</t>
  </si>
  <si>
    <t>SRR-ORD11</t>
  </si>
  <si>
    <t>15 01 10*</t>
  </si>
  <si>
    <t>Imballaggi contenenti residui di sostanze pericolose o contaminati da tali sostanze</t>
  </si>
  <si>
    <t>SRR-ORD12</t>
  </si>
  <si>
    <t>15 02 02*</t>
  </si>
  <si>
    <t>Assorbenti, materiali filtranti, stracci e indumenti protettivi, contaminati da sostanze pericolose</t>
  </si>
  <si>
    <t>SRR-ORD13</t>
  </si>
  <si>
    <t>16 02 13*</t>
  </si>
  <si>
    <t>Apparecchiature fuori uso, contenenti componenti pericolosi</t>
  </si>
  <si>
    <t>SRR-ORD14</t>
  </si>
  <si>
    <t>16 02 14</t>
  </si>
  <si>
    <t>Apparecchiature fuori uso, diverse da quelle di cui alle voci da 16 02 09 a 16 02 13*</t>
  </si>
  <si>
    <t>SRR-ORD15</t>
  </si>
  <si>
    <t>16 02 15*</t>
  </si>
  <si>
    <t>Componenti pericolosi rimossi da apparecchiature fuori uso</t>
  </si>
  <si>
    <t>SRR-ORD16</t>
  </si>
  <si>
    <t>16 02 16</t>
  </si>
  <si>
    <t>Componenti rimossi da apparecchiature fuori uso, diversi da quelli di cui alla voce 16 02 15</t>
  </si>
  <si>
    <t>SRR-ORD17</t>
  </si>
  <si>
    <t>16 06 01*</t>
  </si>
  <si>
    <t>Batterie al piombo</t>
  </si>
  <si>
    <t>SRR-ORD18</t>
  </si>
  <si>
    <t>16 06 02*</t>
  </si>
  <si>
    <t>Batterie al nichel-cadmio</t>
  </si>
  <si>
    <t>16 06 04</t>
  </si>
  <si>
    <t>Batterie alcaline (tranne 16 06 03)</t>
  </si>
  <si>
    <t>IDR.AP.01-01
IDR.AP.01-02
IDR.AP.01-03
IDR.AP.01-04
IDR.AP.01-05
IDR.AP.01-06</t>
  </si>
  <si>
    <t>Attività ordinarie - Manutenzione del verde</t>
  </si>
  <si>
    <t>GIA-ORD1</t>
  </si>
  <si>
    <t>Manutenzione prati e superfici erbose</t>
  </si>
  <si>
    <t>Taglio regolare del tappeto erboso con tecnica mulching</t>
  </si>
  <si>
    <t>Concimazione dei tappeti erbosi</t>
  </si>
  <si>
    <t>Rigenerazione e semina</t>
  </si>
  <si>
    <t>Annaffiatura regolare dei tappeti erbosi e delle piante</t>
  </si>
  <si>
    <t>Raccolta e asportazione foglie e rami secchi</t>
  </si>
  <si>
    <t>Aerazione del tappeto erboso</t>
  </si>
  <si>
    <t>Trattamenti anticrittogamici ed insetticidi</t>
  </si>
  <si>
    <t>GIA-ORD2</t>
  </si>
  <si>
    <t>Manutenzione prati naturali</t>
  </si>
  <si>
    <t>Sfalcio e diserbo dei prati naturali</t>
  </si>
  <si>
    <t>GIA-ORD3</t>
  </si>
  <si>
    <t>Manutenzione siepi, arbusti e cespugli in forma libera</t>
  </si>
  <si>
    <t>Potatura verde o estiva</t>
  </si>
  <si>
    <t>Potatura secca o invernale</t>
  </si>
  <si>
    <t>Vangatura invernale e/o primaverile del terreno circostante le singole essenze e successiva concimazione</t>
  </si>
  <si>
    <t>Mantenimento buche di convoglio</t>
  </si>
  <si>
    <t>Scerbatura</t>
  </si>
  <si>
    <t>Annaffiatura regolare delle siepi</t>
  </si>
  <si>
    <t>GIA-ORD4</t>
  </si>
  <si>
    <t>Aiuole fiorite e/o piantumate con essenze erbacee</t>
  </si>
  <si>
    <t>Diserbo sia chimico che manuale di cordoli e perimetri delimitanti le aiuole e la aree inghiaiate o pavimentate nel verde</t>
  </si>
  <si>
    <t>Annaffiatura regolare delle aiuole</t>
  </si>
  <si>
    <t>GIA-ORD5</t>
  </si>
  <si>
    <t>Alberi e superfici alberate</t>
  </si>
  <si>
    <t>Potatura</t>
  </si>
  <si>
    <t>Verifica statica visiva e strumentale</t>
  </si>
  <si>
    <t>Mantenimento dei sostegni di pianta e delle buche di convoglio ai piedi delle piante</t>
  </si>
  <si>
    <t xml:space="preserve">Concimazione </t>
  </si>
  <si>
    <t>Trattamenti anticrittogamici e antiparassitari</t>
  </si>
  <si>
    <t>Spollonatura e spalcatura</t>
  </si>
  <si>
    <t>Diserbo sia chimico che manuale di riquadrature dei marciapiedi, ove sono a dimora alberi e cespugli</t>
  </si>
  <si>
    <t xml:space="preserve">Manutenzione degli impianti determinato sulla base del numero di Montascale e servoscale </t>
  </si>
  <si>
    <t>Manutenzione degli impianti determinato sulla base del numero di Piattaforme elevatrici</t>
  </si>
  <si>
    <t>Manutenzione delle Scale mobili e marciapiedi mobili determinato sulla base del numero di rampe</t>
  </si>
  <si>
    <t>Attività ordinarie - Reception</t>
  </si>
  <si>
    <t>REC-ORD1</t>
  </si>
  <si>
    <t>REC-ORD2</t>
  </si>
  <si>
    <t>REC-ORD3</t>
  </si>
  <si>
    <t>Attività ordinarie - Facchinaggio interno</t>
  </si>
  <si>
    <t>FAC-ORD1</t>
  </si>
  <si>
    <t>FAC-ORD2</t>
  </si>
  <si>
    <t>FAC-ORD3</t>
  </si>
  <si>
    <t>TRA-ORD1</t>
  </si>
  <si>
    <t>TRA-ORD2</t>
  </si>
  <si>
    <t>TRA-ORD3</t>
  </si>
  <si>
    <t>Attività ordinarie - Facchinaggio esterno/Trasloco</t>
  </si>
  <si>
    <t>TRA-ORD4</t>
  </si>
  <si>
    <t>Autocarro fino a 3,5 tonnellate (senza conducente)</t>
  </si>
  <si>
    <t>TRA-ORD5</t>
  </si>
  <si>
    <t>Autocarro fino a 5 tonnellate (senza conducente)</t>
  </si>
  <si>
    <t>TRA-ORD6</t>
  </si>
  <si>
    <t>Autocarro fino a 7,5 tonnellate (senza conducente)</t>
  </si>
  <si>
    <t>TRA-ORD7</t>
  </si>
  <si>
    <t>Autocarro fino a 11,5 tonnellate (senza conducente)</t>
  </si>
  <si>
    <t>Attività ordinarie - Mantenimento edile</t>
  </si>
  <si>
    <t>MMI.AP</t>
  </si>
  <si>
    <t>MME.AP</t>
  </si>
  <si>
    <t>Mantenimento edile aree interne</t>
  </si>
  <si>
    <t>Mantenimento edile aree esterne</t>
  </si>
  <si>
    <t>MMI.AP-01
MMI.AP-02
MMI.AP-03
MMI.AP-04
MMI.AP-05
MMI.AP-06
MMI.AP-07
MMI.AP-08
MMI.AP-09
MMI.AP-10
MMI.AP-11</t>
  </si>
  <si>
    <t>Mantenimento Edile delle Aree interne del sistema edilizio, determinate sulla base della superficie lorda delle aree interne</t>
  </si>
  <si>
    <t>MME.AP-01
MME.AP-02
MME.AP-03
MME.AP-04
MME.AP-05</t>
  </si>
  <si>
    <t>Mantenimento Edile delle Aree esterne del sistema edilizio, determinate sulla base della superficie lorda delle aree esterne</t>
  </si>
  <si>
    <t>TOTALE CANONE BASE ASTA x IMM.</t>
  </si>
  <si>
    <t>TOTALE CANONE BASE ASTA PATRIMONIO IMMOBILIARE</t>
  </si>
  <si>
    <t>TOTALE x SERVIZIO</t>
  </si>
  <si>
    <t>CANONE 4 ANNI</t>
  </si>
  <si>
    <t>2.2</t>
  </si>
  <si>
    <t>ore di funzionamento/anno</t>
  </si>
  <si>
    <t>mq sup. da trattare/mese</t>
  </si>
  <si>
    <t>mq sup. da trattare/intervento</t>
  </si>
  <si>
    <t>punto/intervento</t>
  </si>
  <si>
    <t>Quantità ore/mese</t>
  </si>
  <si>
    <t>CONTROLLO SUL SET MINIMO</t>
  </si>
  <si>
    <t>CONTROLLO SUL PRESIDIO TECNOLOGICO (ELETTRICISTI)</t>
  </si>
  <si>
    <t>CONTROLLO SUL PRESIDIO TECNOLOGICO (TERMOIDRAULICI)</t>
  </si>
  <si>
    <t>CONTROLLO SUL PRESIDIO TECNOLOGICO (ASCENSORISTI)</t>
  </si>
  <si>
    <t>CONTROLLO SUL PRESIDIO TECNOLOGICO (COORDINATORE)</t>
  </si>
  <si>
    <t>Denominazione immobile</t>
  </si>
  <si>
    <t>Prezzo base d'Asta
(€/UdM anno)</t>
  </si>
  <si>
    <t>Prezzo Fornitore 1
(€/UdM anno)</t>
  </si>
  <si>
    <t>Prezzo Fornitore 2
(€/UdM anno)</t>
  </si>
  <si>
    <t>Unità di misura
(UdM)</t>
  </si>
  <si>
    <t>impianto di sollevamento</t>
  </si>
  <si>
    <t>n. ascensori e montacarichi X n.attività</t>
  </si>
  <si>
    <t>n. rampe X n.attività anno</t>
  </si>
  <si>
    <t>n. piattaforme elevatrici X n.attività anno</t>
  </si>
  <si>
    <t>n. montascala o servoscala X n.attività anno</t>
  </si>
  <si>
    <t>n. ascensori e montacarichi X n.attività anno</t>
  </si>
  <si>
    <t>lt bombola X n.revisioni anno</t>
  </si>
  <si>
    <t>n. locali protetti/anno</t>
  </si>
  <si>
    <t>n. tubazioni/anno</t>
  </si>
  <si>
    <t>kg estinguente X n.revisioni anno</t>
  </si>
  <si>
    <t>kg estinguente X n.collaudi anno</t>
  </si>
  <si>
    <t>Codice prezzo</t>
  </si>
  <si>
    <t>Prezzo base d'Asta
(€/UdM)</t>
  </si>
  <si>
    <t>Prezzo Fornitore 1
(€/UdM)</t>
  </si>
  <si>
    <t>Prezzo Fornitore 2
(€/UdM)</t>
  </si>
  <si>
    <t>Prezzo base d'Asta
(€/UdM mese)</t>
  </si>
  <si>
    <t>Prezzo Fornitore 1
(€/UdM mese)</t>
  </si>
  <si>
    <t>Prezzo Fornitore 2
(€/UdM mese)</t>
  </si>
  <si>
    <t>Frequenza settimanale</t>
  </si>
  <si>
    <t>5 giorni su 7</t>
  </si>
  <si>
    <t>6 giorni su 7</t>
  </si>
  <si>
    <t>7 giorni su 7</t>
  </si>
  <si>
    <t>Prezzo base d'Asta
(€/UdM intervento)</t>
  </si>
  <si>
    <t>Prezzo Fornitore 1
(€/UdM intervento)</t>
  </si>
  <si>
    <t>Prezzo Fornitore 2
(€/UdM intervento)</t>
  </si>
  <si>
    <t>n. pini</t>
  </si>
  <si>
    <t>viaggio</t>
  </si>
  <si>
    <t>kg</t>
  </si>
  <si>
    <t>Quantità
anno</t>
  </si>
  <si>
    <t>albero</t>
  </si>
  <si>
    <t>SN</t>
  </si>
  <si>
    <t>mq superficie lorda aree interne</t>
  </si>
  <si>
    <t>mq superficie lorda aree esterne</t>
  </si>
  <si>
    <t>#</t>
  </si>
  <si>
    <t>Regione</t>
  </si>
  <si>
    <t>Provincia/Città metropolitana</t>
  </si>
  <si>
    <t>Comune</t>
  </si>
  <si>
    <t>L'immobile fa parte di un Compendio</t>
  </si>
  <si>
    <t>via/corso/piazza</t>
  </si>
  <si>
    <t>n° civico</t>
  </si>
  <si>
    <t xml:space="preserve">SET MINIMO RISPETTATO </t>
  </si>
  <si>
    <t>SERVIZIO</t>
  </si>
  <si>
    <t>TOT. X IMM.</t>
  </si>
  <si>
    <t>OPF</t>
  </si>
  <si>
    <t>Importo a consumo
(non deve essere superiore al 30% del totale canone)</t>
  </si>
  <si>
    <r>
      <t>PT</t>
    </r>
    <r>
      <rPr>
        <b/>
        <sz val="8"/>
        <color theme="0"/>
        <rFont val="Calibri"/>
        <family val="2"/>
      </rPr>
      <t>j.n,max</t>
    </r>
  </si>
  <si>
    <r>
      <t>Fattore di ponderazione
k</t>
    </r>
    <r>
      <rPr>
        <b/>
        <vertAlign val="subscript"/>
        <sz val="10"/>
        <color theme="0"/>
        <rFont val="Calibri"/>
        <family val="2"/>
      </rPr>
      <t>j.n</t>
    </r>
  </si>
  <si>
    <r>
      <t>Valore Economico VE</t>
    </r>
    <r>
      <rPr>
        <b/>
        <vertAlign val="subscript"/>
        <sz val="10"/>
        <color theme="0"/>
        <rFont val="Calibri"/>
        <family val="2"/>
      </rPr>
      <t>J</t>
    </r>
  </si>
  <si>
    <r>
      <t>Valore % servizio q</t>
    </r>
    <r>
      <rPr>
        <b/>
        <vertAlign val="subscript"/>
        <sz val="10"/>
        <color theme="0"/>
        <rFont val="Calibri"/>
        <family val="2"/>
      </rPr>
      <t>J</t>
    </r>
  </si>
  <si>
    <r>
      <t>PT</t>
    </r>
    <r>
      <rPr>
        <b/>
        <vertAlign val="subscript"/>
        <sz val="8"/>
        <color theme="0"/>
        <rFont val="Calibri"/>
        <family val="2"/>
      </rPr>
      <t>j.n,max</t>
    </r>
    <r>
      <rPr>
        <b/>
        <vertAlign val="superscript"/>
        <sz val="8"/>
        <color theme="0"/>
        <rFont val="Calibri"/>
        <family val="2"/>
      </rPr>
      <t>Rprovv</t>
    </r>
  </si>
  <si>
    <r>
      <t>PT max riparametrato PT</t>
    </r>
    <r>
      <rPr>
        <b/>
        <vertAlign val="subscript"/>
        <sz val="10"/>
        <color theme="0"/>
        <rFont val="Calibri"/>
        <family val="2"/>
      </rPr>
      <t>j.n,max</t>
    </r>
    <r>
      <rPr>
        <b/>
        <vertAlign val="superscript"/>
        <sz val="10"/>
        <color theme="0"/>
        <rFont val="Calibri"/>
        <family val="2"/>
      </rPr>
      <t>R</t>
    </r>
  </si>
  <si>
    <r>
      <t>PT max riparametrato PT</t>
    </r>
    <r>
      <rPr>
        <b/>
        <vertAlign val="subscript"/>
        <sz val="10"/>
        <color theme="0"/>
        <rFont val="Calibri"/>
        <family val="2"/>
      </rPr>
      <t>J,max</t>
    </r>
    <r>
      <rPr>
        <b/>
        <vertAlign val="superscript"/>
        <sz val="10"/>
        <color theme="0"/>
        <rFont val="Calibri"/>
        <family val="2"/>
      </rPr>
      <t>R</t>
    </r>
  </si>
  <si>
    <r>
      <t>Attività</t>
    </r>
    <r>
      <rPr>
        <sz val="10"/>
        <color theme="0"/>
        <rFont val="Garamond"/>
        <family val="1"/>
      </rPr>
      <t> </t>
    </r>
  </si>
  <si>
    <r>
      <t>PE</t>
    </r>
    <r>
      <rPr>
        <b/>
        <vertAlign val="subscript"/>
        <sz val="10"/>
        <color theme="0"/>
        <rFont val="Calibri"/>
        <family val="2"/>
      </rPr>
      <t>j.n,max</t>
    </r>
  </si>
  <si>
    <t>tot</t>
  </si>
  <si>
    <r>
      <t>PT</t>
    </r>
    <r>
      <rPr>
        <b/>
        <sz val="8"/>
        <color theme="0"/>
        <rFont val="Calibri"/>
        <family val="2"/>
      </rPr>
      <t>max</t>
    </r>
  </si>
  <si>
    <r>
      <t>FORNITORE 1
PT</t>
    </r>
    <r>
      <rPr>
        <b/>
        <sz val="8"/>
        <color theme="0"/>
        <rFont val="Calibri"/>
        <family val="2"/>
      </rPr>
      <t>AQ</t>
    </r>
  </si>
  <si>
    <r>
      <t>FORNITORE 2
PT</t>
    </r>
    <r>
      <rPr>
        <b/>
        <sz val="8"/>
        <color theme="0"/>
        <rFont val="Calibri"/>
        <family val="2"/>
      </rPr>
      <t>AQ</t>
    </r>
  </si>
  <si>
    <r>
      <t>FORNITORE 1
PT</t>
    </r>
    <r>
      <rPr>
        <b/>
        <vertAlign val="subscript"/>
        <sz val="8"/>
        <color theme="0"/>
        <rFont val="Calibri"/>
        <family val="2"/>
      </rPr>
      <t>AS,1</t>
    </r>
  </si>
  <si>
    <r>
      <t>FORNITORE 2
PT</t>
    </r>
    <r>
      <rPr>
        <b/>
        <vertAlign val="subscript"/>
        <sz val="8"/>
        <color theme="0"/>
        <rFont val="Calibri"/>
        <family val="2"/>
      </rPr>
      <t>AS,2</t>
    </r>
  </si>
  <si>
    <r>
      <t>PE</t>
    </r>
    <r>
      <rPr>
        <u/>
        <sz val="12"/>
        <color theme="0"/>
        <rFont val="Calibri"/>
        <family val="2"/>
        <scheme val="minor"/>
      </rPr>
      <t>AS</t>
    </r>
  </si>
  <si>
    <r>
      <t>R</t>
    </r>
    <r>
      <rPr>
        <u/>
        <sz val="12"/>
        <color theme="0"/>
        <rFont val="Calibri"/>
        <family val="2"/>
        <scheme val="minor"/>
      </rPr>
      <t>C</t>
    </r>
  </si>
  <si>
    <r>
      <t>Attività</t>
    </r>
    <r>
      <rPr>
        <sz val="8"/>
        <color theme="0"/>
        <rFont val="Garamond"/>
        <family val="1"/>
      </rPr>
      <t> </t>
    </r>
  </si>
  <si>
    <r>
      <t>R</t>
    </r>
    <r>
      <rPr>
        <u/>
        <sz val="12"/>
        <color theme="0"/>
        <rFont val="Calibri"/>
        <family val="2"/>
        <scheme val="minor"/>
      </rPr>
      <t>EC</t>
    </r>
  </si>
  <si>
    <r>
      <t xml:space="preserve">PTot </t>
    </r>
    <r>
      <rPr>
        <u/>
        <sz val="12"/>
        <color theme="0"/>
        <rFont val="Calibri"/>
        <family val="2"/>
        <scheme val="minor"/>
      </rPr>
      <t>AS</t>
    </r>
  </si>
  <si>
    <r>
      <t>PTOT</t>
    </r>
    <r>
      <rPr>
        <b/>
        <sz val="14"/>
        <color theme="0"/>
        <rFont val="Calibri"/>
        <family val="2"/>
        <scheme val="minor"/>
      </rPr>
      <t>AS</t>
    </r>
    <r>
      <rPr>
        <b/>
        <sz val="18"/>
        <color theme="0"/>
        <rFont val="Calibri"/>
        <family val="2"/>
        <scheme val="minor"/>
      </rPr>
      <t>,fornitore 1</t>
    </r>
  </si>
  <si>
    <r>
      <t>PTOT</t>
    </r>
    <r>
      <rPr>
        <b/>
        <sz val="14"/>
        <color theme="0"/>
        <rFont val="Calibri"/>
        <family val="2"/>
        <scheme val="minor"/>
      </rPr>
      <t>AS</t>
    </r>
    <r>
      <rPr>
        <b/>
        <sz val="18"/>
        <color theme="0"/>
        <rFont val="Calibri"/>
        <family val="2"/>
        <scheme val="minor"/>
      </rPr>
      <t>,fornitore 2</t>
    </r>
  </si>
  <si>
    <r>
      <t>PTot</t>
    </r>
    <r>
      <rPr>
        <b/>
        <sz val="8"/>
        <color theme="0"/>
        <rFont val="Calibri"/>
        <family val="2"/>
      </rPr>
      <t>AS</t>
    </r>
    <r>
      <rPr>
        <b/>
        <sz val="10"/>
        <color theme="0"/>
        <rFont val="Calibri"/>
        <family val="2"/>
      </rPr>
      <t xml:space="preserve"> = PT</t>
    </r>
    <r>
      <rPr>
        <b/>
        <sz val="8"/>
        <color theme="0"/>
        <rFont val="Calibri"/>
        <family val="2"/>
      </rPr>
      <t xml:space="preserve">ER </t>
    </r>
    <r>
      <rPr>
        <b/>
        <sz val="10"/>
        <color theme="0"/>
        <rFont val="Calibri"/>
        <family val="2"/>
      </rPr>
      <t>+ PT</t>
    </r>
    <r>
      <rPr>
        <b/>
        <sz val="8"/>
        <color theme="0"/>
        <rFont val="Calibri"/>
        <family val="2"/>
      </rPr>
      <t>AS</t>
    </r>
  </si>
  <si>
    <r>
      <t>PT</t>
    </r>
    <r>
      <rPr>
        <b/>
        <sz val="8"/>
        <color theme="0"/>
        <rFont val="Calibri"/>
        <family val="2"/>
      </rPr>
      <t>AQ</t>
    </r>
  </si>
  <si>
    <t>Fornitore</t>
  </si>
  <si>
    <r>
      <t>PTOT</t>
    </r>
    <r>
      <rPr>
        <b/>
        <sz val="12"/>
        <color theme="0"/>
        <rFont val="Calibri"/>
        <family val="2"/>
        <scheme val="minor"/>
      </rPr>
      <t>AS</t>
    </r>
  </si>
  <si>
    <r>
      <t>PE</t>
    </r>
    <r>
      <rPr>
        <sz val="10"/>
        <color theme="0"/>
        <rFont val="Calibri"/>
        <family val="2"/>
        <scheme val="minor"/>
      </rPr>
      <t>AS</t>
    </r>
  </si>
  <si>
    <r>
      <t>PT</t>
    </r>
    <r>
      <rPr>
        <sz val="10"/>
        <color theme="0"/>
        <rFont val="Calibri"/>
        <family val="2"/>
        <scheme val="minor"/>
      </rPr>
      <t>AS</t>
    </r>
  </si>
  <si>
    <r>
      <t>PT</t>
    </r>
    <r>
      <rPr>
        <sz val="10"/>
        <color theme="0"/>
        <rFont val="Calibri"/>
        <family val="2"/>
        <scheme val="minor"/>
      </rPr>
      <t>ER</t>
    </r>
  </si>
  <si>
    <t>CONTROLLO % EC</t>
  </si>
  <si>
    <t>NOTE: In questi spazi le Amministrazioni possono inserire, per ciascun immobile sopra indicato, una opportuna motivazione nel caso in cui dovessero richiedere un numero di FTE superiore ai valori indicati nel Par. 7.1.10.1 del Capitolato Tecnico.</t>
  </si>
  <si>
    <t>CONTROLLO EC PRESIDIO TECN.</t>
  </si>
  <si>
    <t>CONTROLLO EC PRESIDIO PUL.</t>
  </si>
  <si>
    <t>CONTROLLO EC FACCHINAGGIO</t>
  </si>
  <si>
    <t>Grande/piccolo immobile</t>
  </si>
  <si>
    <t>sì</t>
  </si>
  <si>
    <t>TOTALE SERVIZI A CANONE</t>
  </si>
  <si>
    <t>TOTALE VALORE APPALTO</t>
  </si>
  <si>
    <t>Sup. lorda complessiva (mq)</t>
  </si>
  <si>
    <t>NOTE: In questi spazi le Amministrazioni possono inserire, per ciascun immobile sopra indicato, una opportuna motivazione nel caso in cui dovessero richiedere un numero di FTE superiore ai valori indicati nel Par. 7.2.2.1 del Capitolato Tecnico.</t>
  </si>
  <si>
    <t>Ribasso</t>
  </si>
  <si>
    <t>(RAF+RIS)/2</t>
  </si>
  <si>
    <t>N. SERVIZI DI MANUTENZIONE IMPIANTI</t>
  </si>
  <si>
    <t>Ribasso % offerto ai fini del calcolo della cauzione</t>
  </si>
  <si>
    <t>N. SERVIZI ORDINATI</t>
  </si>
  <si>
    <t>Mesi</t>
  </si>
  <si>
    <t>SERVIZI ORD</t>
  </si>
  <si>
    <t>MESI SCONTO</t>
  </si>
  <si>
    <t>TOT SENZA SCONTO</t>
  </si>
  <si>
    <t>TOT SCONTATO</t>
  </si>
  <si>
    <t>Mesi/n. serv. Att</t>
  </si>
  <si>
    <t>TOTALE CANONE SCONTATO (n≥8 servizi)</t>
  </si>
  <si>
    <t>Istituzione Universitaria</t>
  </si>
  <si>
    <t xml:space="preserve">Ente-Istituto di Ricerca </t>
  </si>
  <si>
    <t>Immobile uso ufficio</t>
  </si>
  <si>
    <t>Tipologia immobile in base alla prevalenza</t>
  </si>
  <si>
    <t>Gruppi elettrogeni potenza nominale fino a 500 kVA</t>
  </si>
  <si>
    <t>Gruppi elettrogeni potenza nominale da 501 kVA a 800 kVA</t>
  </si>
  <si>
    <t>Gruppi elettrogeni potenza nominale da 801 kVA a 1000 kVA</t>
  </si>
  <si>
    <t>Gruppi elettrogeni potenza nominale  oltre 1000 kVA</t>
  </si>
  <si>
    <t>metro lineare</t>
  </si>
  <si>
    <t>Operaio comune (dalle 6.00 alle 22.00 dei giorni feriali)</t>
  </si>
  <si>
    <t>Operaio comune (dalle 22.00 alle 6.00 dei giorni feriali)</t>
  </si>
  <si>
    <t>Operaio comune (dalle 6.00 alle 22.00 del sabato e dei giorni festivi)</t>
  </si>
  <si>
    <t>Operaio comune (dalle 22.00 alle 6.00 del sabato e dei giorni festivi)</t>
  </si>
  <si>
    <t>Operaio qualificato (dalle 6.00 alle 22.00 dei giorni feriali)</t>
  </si>
  <si>
    <t>Operaio qualificato (dalle 22.00 alle 6.00 dei giorni feriali)</t>
  </si>
  <si>
    <t>Operaio qualificato (dalle 6.00 alle 22.00 del sabato e dei giorni festivi)</t>
  </si>
  <si>
    <t>Operaio qualificato (dalle 22.00 alle 6.00 del sabato e dei giorni festivi)</t>
  </si>
  <si>
    <t>Operaio specializzato (dalle 6.00 alle 22.00 dei giorni feriali)</t>
  </si>
  <si>
    <t>Operaio specializzato (dalle 22.00 alle 6.00 dei giorni feriali)</t>
  </si>
  <si>
    <t>Operaio specializzato (dalle 6.00 alle 22.00 del sabato e dei giorni festivi)</t>
  </si>
  <si>
    <t>Operaio specializzato (dalle 22.00 alle 6.00 del sabato e dei giorni festivi)</t>
  </si>
  <si>
    <t>Attività remunerate in €/ora eseguita con Operaio comune dalle 6.00 alle 22.00 dei giorni feriali</t>
  </si>
  <si>
    <t>Attività remunerate in €/ora eseguita con Operaio comune dalle 22.00 alle 6.00 dei giorni feriali</t>
  </si>
  <si>
    <t>Attività remunerate in €/ora eseguita con Operaio comune dalle 6.00 alle 22.00 del sabato e dei giorni festivi</t>
  </si>
  <si>
    <t>Attività remunerate in €/ora eseguita con Operaio comune dalle 22.00 alle 6.00 del sabato e dei giorni festivi</t>
  </si>
  <si>
    <t>Attività remunerate in €/ora eseguita con Operaio qualificato dalle 6.00 alle 22.00 dei giorni feriali</t>
  </si>
  <si>
    <t>Attività remunerate in €/ora eseguita con Operaio qualificato dalle 22.00 alle 6.00 dei giorni feriali</t>
  </si>
  <si>
    <t>Attività remunerate in €/ora eseguita con Operaio qualificato dalle 6.00 alle 22.00 del sabato e dei giorni festivi</t>
  </si>
  <si>
    <t>Attività remunerate in €/ora eseguita con Operaio qualificato dalle 22.00 alle 6.00 del sabato e dei giorni festivi</t>
  </si>
  <si>
    <t>Attività remunerate in €/ora eseguita con Operaio specializzato dalle 6.00 alle 22.00 dei giorni feriali</t>
  </si>
  <si>
    <t>Attività remunerate in €/ora eseguita con Operaio specializzato dalle 22.00 alle 6.00 dei giorni feriali</t>
  </si>
  <si>
    <t>Attività remunerate in €/ora eseguita con Operaio specializzato dalle 6.00 alle 22.00 del sabato e dei giorni festivi</t>
  </si>
  <si>
    <t>Attività remunerate in €/ora eseguita con Operaio specializzato dalle 22.00 alle 6.00 del sabato e dei giorni festivi</t>
  </si>
  <si>
    <t>Importo a consumo
(non deve essere superiore al 30% del totale canone scontato)</t>
  </si>
  <si>
    <t>TOTALE CANONE SCONTATO</t>
  </si>
  <si>
    <t>Elettricista - Operaio comune (dalle 6.00 alle 22.00 dei giorni feriali)</t>
  </si>
  <si>
    <t>Elettricista - Operaio comune (dalle 22.00 alle 6.00 dei giorni feriali)</t>
  </si>
  <si>
    <t>Elettricista - Operaio comune (dalle 6.00 alle 22.00 del sabato e dei giorni festivi)</t>
  </si>
  <si>
    <t>Elettricista - Operaio comune (dalle 22.00 alle 6.00 del sabato e dei giorni festivi)</t>
  </si>
  <si>
    <t>Elettricista - Operaio qualificato (dalle 6.00 alle 22.00 dei giorni feriali)</t>
  </si>
  <si>
    <t>Elettricista - Operaio qualificato (dalle 22.00 alle 6.00 dei giorni feriali)</t>
  </si>
  <si>
    <t>Elettricista - Operaio qualificato (dalle 6.00 alle 22.00 del sabato e dei giorni festivi)</t>
  </si>
  <si>
    <t>Elettricista - Operaio qualificato (dalle 22.00 alle 6.00 del sabato e dei giorni festivi)</t>
  </si>
  <si>
    <t>Elettricista - Operaio specializzato (dalle 6.00 alle 22.00 dei giorni feriali)</t>
  </si>
  <si>
    <t>Elettricista - Operaio specializzato (dalle 22.00 alle 6.00 dei giorni feriali)</t>
  </si>
  <si>
    <t>Elettricista - Operaio specializzato (dalle 6.00 alle 22.00 del sabato e dei giorni festivi)</t>
  </si>
  <si>
    <t>Elettricista - Operaio specializzato (dalle 22.00 alle 6.00 del sabato e dei giorni festivi)</t>
  </si>
  <si>
    <t>Termoidraulico - Operaio comune (dalle 6.00 alle 22.00 dei giorni feriali)</t>
  </si>
  <si>
    <t>Termoidraulico - Operaio comune (dalle 22.00 alle 6.00 dei giorni feriali)</t>
  </si>
  <si>
    <t>Termoidraulico - Operaio comune (dalle 6.00 alle 22.00 del sabato e dei giorni festivi)</t>
  </si>
  <si>
    <t>Termoidraulico - Operaio comune (dalle 22.00 alle 6.00 del sabato e dei giorni festivi)</t>
  </si>
  <si>
    <t>Termoidraulico - Operaio qualificato (dalle 6.00 alle 22.00 dei giorni feriali)</t>
  </si>
  <si>
    <t>Termoidraulico - Operaio qualificato (dalle 22.00 alle 6.00 dei giorni feriali)</t>
  </si>
  <si>
    <t>Termoidraulico - Operaio qualificato (dalle 6.00 alle 22.00 del sabato e dei giorni festivi)</t>
  </si>
  <si>
    <t>Termoidraulico - Operaio qualificato (dalle 22.00 alle 6.00 del sabato e dei giorni festivi)</t>
  </si>
  <si>
    <t>Termoidraulico - Operaio specializzato (dalle 6.00 alle 22.00 dei giorni feriali)</t>
  </si>
  <si>
    <t>Termoidraulico - Operaio specializzato (dalle 22.00 alle 6.00 dei giorni feriali)</t>
  </si>
  <si>
    <t>Termoidraulico - Operaio specializzato (dalle 6.00 alle 22.00 del sabato e dei giorni festivi)</t>
  </si>
  <si>
    <t>Termoidraulico - Operaio specializzato (dalle 22.00 alle 6.00 del sabato e dei giorni festivi)</t>
  </si>
  <si>
    <t>Ascensorista - Operaio comune (dalle 6.00 alle 22.00 dei giorni feriali)</t>
  </si>
  <si>
    <t>Ascensorista - Operaio comune (dalle 22.00 alle 6.00 dei giorni feriali)</t>
  </si>
  <si>
    <t>Ascensorista - Operaio comune (dalle 6.00 alle 22.00 del sabato e dei giorni festivi)</t>
  </si>
  <si>
    <t>Ascensorista - Operaio comune (dalle 22.00 alle 6.00 del sabato e dei giorni festivi)</t>
  </si>
  <si>
    <t>Ascensorista - Operaio qualificato (dalle 6.00 alle 22.00 dei giorni feriali)</t>
  </si>
  <si>
    <t>Ascensorista - Operaio qualificato (dalle 22.00 alle 6.00 dei giorni feriali)</t>
  </si>
  <si>
    <t>Ascensorista - Operaio qualificato (dalle 6.00 alle 22.00 del sabato e dei giorni festivi)</t>
  </si>
  <si>
    <t>Ascensorista - Operaio qualificato (dalle 22.00 alle 6.00 del sabato e dei giorni festivi)</t>
  </si>
  <si>
    <t>Ascensorista - Operaio specializzato (dalle 6.00 alle 22.00 dei giorni feriali)</t>
  </si>
  <si>
    <t>Ascensorista - Operaio specializzato (dalle 22.00 alle 6.00 dei giorni feriali)</t>
  </si>
  <si>
    <t>Ascensorista - Operaio specializzato (dalle 6.00 alle 22.00 del sabato e dei giorni festivi)</t>
  </si>
  <si>
    <t>Ascensorista - Operaio specializzato (dalle 22.00 alle 6.00 del sabato e dei giorni festivi)</t>
  </si>
  <si>
    <t>Coordinatore - Operaio comune (dalle 6.00 alle 22.00 dei giorni feriali)</t>
  </si>
  <si>
    <t>Coordinatore - Operaio comune (dalle 22.00 alle 6.00 dei giorni feriali)</t>
  </si>
  <si>
    <t>Coordinatore - Operaio comune (dalle 6.00 alle 22.00 del sabato e dei giorni festivi)</t>
  </si>
  <si>
    <t>Coordinatore - Operaio comune (dalle 22.00 alle 6.00 del sabato e dei giorni festivi)</t>
  </si>
  <si>
    <t>Coordinatore - Operaio qualificato (dalle 6.00 alle 22.00 dei giorni feriali)</t>
  </si>
  <si>
    <t>Coordinatore - Operaio qualificato (dalle 22.00 alle 6.00 dei giorni feriali)</t>
  </si>
  <si>
    <t>Coordinatore - Operaio qualificato (dalle 6.00 alle 22.00 del sabato e dei giorni festivi)</t>
  </si>
  <si>
    <t>Coordinatore - Operaio qualificato (dalle 22.00 alle 6.00 del sabato e dei giorni festivi)</t>
  </si>
  <si>
    <t>Coordinatore - Operaio specializzato (dalle 6.00 alle 22.00 dei giorni feriali)</t>
  </si>
  <si>
    <t>Coordinatore - Operaio specializzato (dalle 22.00 alle 6.00 dei giorni feriali)</t>
  </si>
  <si>
    <t>Coordinatore - Operaio specializzato (dalle 6.00 alle 22.00 del sabato e dei giorni festivi)</t>
  </si>
  <si>
    <t>Coordinatore - Operaio specializzato (dalle 22.00 alle 6.00 del sabato e dei giorni festivi)</t>
  </si>
  <si>
    <t>TOTALE x SERVIZIO SCONTATO</t>
  </si>
  <si>
    <t>VALORE MENSILE SCONTATO</t>
  </si>
  <si>
    <t>Romeo Gestioni Spa</t>
  </si>
  <si>
    <t>DUSSMANN SERVICE SRL,  G.R. ELECTRIC S.R.L., CPL CONCORDIA SOC. COOP.</t>
  </si>
  <si>
    <t>Lazio</t>
  </si>
  <si>
    <t>Roma</t>
  </si>
  <si>
    <t>via Liszt</t>
  </si>
  <si>
    <t>Sede ICE-AGID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</si>
</sst>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quot;\ * #,##0.00_-;\-&quot;€&quot;\ * #,##0.00_-;_-&quot;€&quot;\ * &quot;-&quot;??_-;_-@_-"/>
    <numFmt numFmtId="165" formatCode="_-* #,##0_-;\-* #,##0_-;_-* &quot;-&quot;??_-;_-@_-"/>
    <numFmt numFmtId="166" formatCode="0.000"/>
    <numFmt numFmtId="167" formatCode="_-* #,##0.000_-;\-* #,##0.000_-;_-* &quot;-&quot;??_-;_-@_-"/>
    <numFmt numFmtId="168" formatCode="0.0%"/>
    <numFmt numFmtId="169" formatCode="0.000%"/>
    <numFmt numFmtId="170" formatCode="0.00000"/>
    <numFmt numFmtId="171" formatCode="_-* #,##0.00000_-;\-* #,##0.00000_-;_-* &quot;-&quot;??_-;_-@_-"/>
    <numFmt numFmtId="172" formatCode="_-[$€-410]\ * #,##0.000_-;\-[$€-410]\ * #,##0.000_-;_-[$€-410]\ * &quot;-&quot;??_-;_-@_-"/>
    <numFmt numFmtId="173" formatCode="_-&quot;€&quot;\ * #,##0.000_-;\-&quot;€&quot;\ * #,##0.000_-;_-&quot;€&quot;\ * &quot;-&quot;???_-;_-@_-"/>
    <numFmt numFmtId="174" formatCode="[$-F400]h:mm:ss\ AM/PM"/>
  </numFmts>
  <fonts count="96" x14ac:knownFonts="1">
    <font>
      <sz val="11"/>
      <color theme="1"/>
      <name val="Calibri"/>
      <family val="2"/>
      <scheme val="minor"/>
    </font>
    <font>
      <sz val="11"/>
      <color theme="1"/>
      <name val="Calibri"/>
      <family val="2"/>
      <scheme val="minor"/>
    </font>
    <font>
      <b/>
      <sz val="11"/>
      <color theme="1"/>
      <name val="Calibri"/>
      <family val="2"/>
      <scheme val="minor"/>
    </font>
    <font>
      <b/>
      <sz val="9"/>
      <color theme="0"/>
      <name val="Calibri"/>
      <family val="2"/>
      <scheme val="minor"/>
    </font>
    <font>
      <sz val="9"/>
      <color theme="1"/>
      <name val="Calibri"/>
      <family val="2"/>
      <scheme val="minor"/>
    </font>
    <font>
      <b/>
      <sz val="9"/>
      <color theme="1"/>
      <name val="Calibri"/>
      <family val="2"/>
      <scheme val="minor"/>
    </font>
    <font>
      <sz val="10"/>
      <color theme="1"/>
      <name val="Calibri"/>
      <family val="2"/>
    </font>
    <font>
      <sz val="11"/>
      <color indexed="8"/>
      <name val="Calibri"/>
      <family val="2"/>
      <scheme val="minor"/>
    </font>
    <font>
      <sz val="10"/>
      <name val="Arial"/>
      <family val="2"/>
    </font>
    <font>
      <b/>
      <sz val="12"/>
      <color theme="0"/>
      <name val="Calibri"/>
      <family val="2"/>
      <scheme val="minor"/>
    </font>
    <font>
      <sz val="9"/>
      <name val="Calibri"/>
      <family val="2"/>
      <scheme val="minor"/>
    </font>
    <font>
      <i/>
      <sz val="10"/>
      <color theme="1"/>
      <name val="Calibri"/>
      <family val="2"/>
      <scheme val="minor"/>
    </font>
    <font>
      <i/>
      <sz val="10"/>
      <name val="Calibri"/>
      <family val="2"/>
      <scheme val="minor"/>
    </font>
    <font>
      <b/>
      <sz val="9"/>
      <color theme="1"/>
      <name val="Calibri"/>
      <family val="2"/>
    </font>
    <font>
      <sz val="8"/>
      <color theme="1"/>
      <name val="Garamond"/>
      <family val="1"/>
    </font>
    <font>
      <sz val="9"/>
      <color theme="1"/>
      <name val="Calibri"/>
      <family val="2"/>
    </font>
    <font>
      <b/>
      <i/>
      <sz val="9"/>
      <color theme="1"/>
      <name val="Calibri"/>
      <family val="2"/>
    </font>
    <font>
      <b/>
      <sz val="9"/>
      <name val="Calibri"/>
      <family val="2"/>
      <scheme val="minor"/>
    </font>
    <font>
      <b/>
      <sz val="9"/>
      <name val="Calibri"/>
      <family val="2"/>
    </font>
    <font>
      <b/>
      <sz val="10"/>
      <color theme="1"/>
      <name val="Calibri"/>
      <family val="2"/>
    </font>
    <font>
      <sz val="10"/>
      <color theme="1"/>
      <name val="Calibri"/>
      <family val="2"/>
      <scheme val="minor"/>
    </font>
    <font>
      <b/>
      <sz val="10"/>
      <color theme="1"/>
      <name val="Calibri"/>
      <family val="2"/>
      <scheme val="minor"/>
    </font>
    <font>
      <b/>
      <sz val="11"/>
      <color theme="0"/>
      <name val="Calibri"/>
      <family val="2"/>
      <scheme val="minor"/>
    </font>
    <font>
      <b/>
      <sz val="8"/>
      <color theme="1"/>
      <name val="Calibri"/>
      <family val="2"/>
    </font>
    <font>
      <sz val="10"/>
      <name val="Calibri"/>
      <family val="2"/>
      <scheme val="minor"/>
    </font>
    <font>
      <b/>
      <sz val="8"/>
      <color rgb="FFFF0000"/>
      <name val="Calibri"/>
      <family val="2"/>
      <scheme val="minor"/>
    </font>
    <font>
      <i/>
      <sz val="8"/>
      <color theme="1"/>
      <name val="Calibri"/>
      <family val="2"/>
      <scheme val="minor"/>
    </font>
    <font>
      <i/>
      <sz val="8"/>
      <name val="Calibri"/>
      <family val="2"/>
      <scheme val="minor"/>
    </font>
    <font>
      <sz val="8"/>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sz val="14"/>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i/>
      <sz val="11"/>
      <color theme="1"/>
      <name val="Calibri"/>
      <family val="2"/>
      <scheme val="minor"/>
    </font>
    <font>
      <i/>
      <sz val="14"/>
      <color theme="1"/>
      <name val="Calibri"/>
      <family val="2"/>
      <scheme val="minor"/>
    </font>
    <font>
      <b/>
      <sz val="8"/>
      <color theme="0"/>
      <name val="Calibri"/>
      <family val="2"/>
      <scheme val="minor"/>
    </font>
    <font>
      <b/>
      <sz val="8"/>
      <color theme="1"/>
      <name val="Calibri"/>
      <family val="2"/>
      <scheme val="minor"/>
    </font>
    <font>
      <b/>
      <sz val="16"/>
      <color theme="1"/>
      <name val="Calibri"/>
      <family val="2"/>
      <scheme val="minor"/>
    </font>
    <font>
      <b/>
      <sz val="18"/>
      <color theme="1"/>
      <name val="Calibri"/>
      <family val="2"/>
      <scheme val="minor"/>
    </font>
    <font>
      <sz val="8"/>
      <color theme="1"/>
      <name val="Calibri"/>
      <family val="2"/>
      <scheme val="minor"/>
    </font>
    <font>
      <b/>
      <i/>
      <u/>
      <sz val="8"/>
      <color theme="1"/>
      <name val="Calibri"/>
      <family val="2"/>
      <scheme val="minor"/>
    </font>
    <font>
      <b/>
      <sz val="8"/>
      <name val="Calibri"/>
      <family val="2"/>
      <scheme val="minor"/>
    </font>
    <font>
      <b/>
      <i/>
      <sz val="8"/>
      <name val="Calibri"/>
      <family val="2"/>
      <scheme val="minor"/>
    </font>
    <font>
      <b/>
      <i/>
      <sz val="8"/>
      <color theme="1"/>
      <name val="Calibri"/>
      <family val="2"/>
      <scheme val="minor"/>
    </font>
    <font>
      <sz val="9"/>
      <color theme="3"/>
      <name val="Calibri"/>
      <family val="2"/>
      <scheme val="minor"/>
    </font>
    <font>
      <b/>
      <sz val="10"/>
      <name val="Calibri"/>
      <family val="2"/>
      <scheme val="minor"/>
    </font>
    <font>
      <i/>
      <sz val="8"/>
      <color rgb="FF000000"/>
      <name val="Calibri"/>
      <family val="2"/>
    </font>
    <font>
      <i/>
      <sz val="8"/>
      <name val="Calibri"/>
      <family val="2"/>
    </font>
    <font>
      <i/>
      <sz val="8"/>
      <color theme="1"/>
      <name val="Calibri"/>
      <family val="2"/>
    </font>
    <font>
      <b/>
      <i/>
      <sz val="8"/>
      <color theme="1"/>
      <name val="Calibri"/>
      <family val="2"/>
    </font>
    <font>
      <b/>
      <i/>
      <sz val="9"/>
      <color theme="0"/>
      <name val="Calibri"/>
      <family val="2"/>
      <scheme val="minor"/>
    </font>
    <font>
      <b/>
      <i/>
      <sz val="9"/>
      <name val="Calibri"/>
      <family val="2"/>
      <scheme val="minor"/>
    </font>
    <font>
      <b/>
      <sz val="8"/>
      <color rgb="FF821B4C"/>
      <name val="Calibri"/>
      <family val="2"/>
      <scheme val="minor"/>
    </font>
    <font>
      <i/>
      <sz val="8"/>
      <color theme="0"/>
      <name val="Calibri"/>
      <family val="2"/>
      <scheme val="minor"/>
    </font>
    <font>
      <b/>
      <i/>
      <sz val="8"/>
      <color theme="0"/>
      <name val="Calibri"/>
      <family val="2"/>
      <scheme val="minor"/>
    </font>
    <font>
      <sz val="9"/>
      <color theme="0"/>
      <name val="Calibri"/>
      <family val="2"/>
    </font>
    <font>
      <sz val="8"/>
      <color theme="0"/>
      <name val="Calibri"/>
      <family val="2"/>
      <scheme val="minor"/>
    </font>
    <font>
      <b/>
      <sz val="9"/>
      <color theme="0"/>
      <name val="Calibri"/>
      <family val="2"/>
    </font>
    <font>
      <sz val="10"/>
      <color theme="0"/>
      <name val="Calibri"/>
      <family val="2"/>
      <scheme val="minor"/>
    </font>
    <font>
      <i/>
      <sz val="8"/>
      <color theme="0"/>
      <name val="Calibri"/>
      <family val="2"/>
    </font>
    <font>
      <sz val="9"/>
      <color theme="0"/>
      <name val="Calibri"/>
      <family val="2"/>
      <scheme val="minor"/>
    </font>
    <font>
      <b/>
      <sz val="10"/>
      <color theme="0"/>
      <name val="Calibri"/>
      <family val="2"/>
      <scheme val="minor"/>
    </font>
    <font>
      <b/>
      <i/>
      <sz val="10"/>
      <color theme="0"/>
      <name val="Calibri"/>
      <family val="2"/>
      <scheme val="minor"/>
    </font>
    <font>
      <b/>
      <i/>
      <sz val="12"/>
      <color theme="0"/>
      <name val="Calibri"/>
      <family val="2"/>
      <scheme val="minor"/>
    </font>
    <font>
      <b/>
      <sz val="11"/>
      <name val="Calibri"/>
      <family val="2"/>
      <scheme val="minor"/>
    </font>
    <font>
      <i/>
      <sz val="11"/>
      <name val="Calibri"/>
      <family val="2"/>
      <scheme val="minor"/>
    </font>
    <font>
      <b/>
      <i/>
      <sz val="11"/>
      <color theme="1"/>
      <name val="Calibri"/>
      <family val="2"/>
      <scheme val="minor"/>
    </font>
    <font>
      <b/>
      <sz val="9"/>
      <color rgb="FF821B4C"/>
      <name val="Calibri"/>
      <family val="2"/>
      <scheme val="minor"/>
    </font>
    <font>
      <b/>
      <sz val="10"/>
      <color theme="0"/>
      <name val="Calibri"/>
      <family val="2"/>
    </font>
    <font>
      <b/>
      <sz val="8"/>
      <color theme="0"/>
      <name val="Calibri"/>
      <family val="2"/>
    </font>
    <font>
      <b/>
      <vertAlign val="subscript"/>
      <sz val="10"/>
      <color theme="0"/>
      <name val="Calibri"/>
      <family val="2"/>
    </font>
    <font>
      <b/>
      <vertAlign val="subscript"/>
      <sz val="8"/>
      <color theme="0"/>
      <name val="Calibri"/>
      <family val="2"/>
    </font>
    <font>
      <b/>
      <vertAlign val="superscript"/>
      <sz val="8"/>
      <color theme="0"/>
      <name val="Calibri"/>
      <family val="2"/>
    </font>
    <font>
      <b/>
      <vertAlign val="superscript"/>
      <sz val="10"/>
      <color theme="0"/>
      <name val="Calibri"/>
      <family val="2"/>
    </font>
    <font>
      <sz val="10"/>
      <color theme="0"/>
      <name val="Garamond"/>
      <family val="1"/>
    </font>
    <font>
      <i/>
      <sz val="10"/>
      <color theme="0"/>
      <name val="Calibri"/>
      <family val="2"/>
      <scheme val="minor"/>
    </font>
    <font>
      <u/>
      <sz val="20"/>
      <color theme="0"/>
      <name val="Calibri"/>
      <family val="2"/>
      <scheme val="minor"/>
    </font>
    <font>
      <u/>
      <sz val="12"/>
      <color theme="0"/>
      <name val="Calibri"/>
      <family val="2"/>
      <scheme val="minor"/>
    </font>
    <font>
      <u/>
      <sz val="18"/>
      <color theme="0"/>
      <name val="Calibri"/>
      <family val="2"/>
      <scheme val="minor"/>
    </font>
    <font>
      <b/>
      <sz val="14"/>
      <name val="Calibri"/>
      <family val="2"/>
      <scheme val="minor"/>
    </font>
    <font>
      <sz val="8"/>
      <color theme="0"/>
      <name val="Garamond"/>
      <family val="1"/>
    </font>
    <font>
      <b/>
      <sz val="18"/>
      <color theme="0"/>
      <name val="Calibri"/>
      <family val="2"/>
      <scheme val="minor"/>
    </font>
    <font>
      <i/>
      <sz val="12"/>
      <color theme="0"/>
      <name val="Calibri"/>
      <family val="2"/>
      <scheme val="minor"/>
    </font>
    <font>
      <sz val="12"/>
      <color theme="0"/>
      <name val="Calibri"/>
      <family val="2"/>
      <scheme val="minor"/>
    </font>
    <font>
      <sz val="14"/>
      <color theme="0"/>
      <name val="Calibri"/>
      <family val="2"/>
      <scheme val="minor"/>
    </font>
    <font>
      <b/>
      <sz val="9"/>
      <color indexed="9"/>
      <name val="Calibri"/>
      <family val="2"/>
      <scheme val="minor"/>
    </font>
    <font>
      <i/>
      <sz val="9"/>
      <color theme="1"/>
      <name val="Calibri"/>
      <family val="2"/>
      <scheme val="minor"/>
    </font>
    <font>
      <i/>
      <sz val="9"/>
      <color theme="0"/>
      <name val="Calibri"/>
      <family val="2"/>
      <scheme val="minor"/>
    </font>
    <font>
      <b/>
      <i/>
      <sz val="11"/>
      <color theme="0"/>
      <name val="Calibri"/>
      <family val="2"/>
      <scheme val="minor"/>
    </font>
    <font>
      <b/>
      <sz val="9"/>
      <color rgb="FFFFFF00"/>
      <name val="Calibri"/>
      <family val="2"/>
      <scheme val="minor"/>
    </font>
    <font>
      <sz val="11"/>
      <name val="Calibri"/>
      <family val="2"/>
      <scheme val="minor"/>
    </font>
    <font>
      <sz val="9"/>
      <color indexed="81"/>
      <name val="Tahoma"/>
      <family val="2"/>
    </font>
    <font>
      <b/>
      <sz val="9"/>
      <color indexed="81"/>
      <name val="Tahoma"/>
      <family val="2"/>
    </font>
  </fonts>
  <fills count="1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595959"/>
        <bgColor indexed="64"/>
      </patternFill>
    </fill>
    <fill>
      <patternFill patternType="solid">
        <fgColor theme="1" tint="0.34998626667073579"/>
        <bgColor indexed="64"/>
      </patternFill>
    </fill>
    <fill>
      <patternFill patternType="solid">
        <fgColor rgb="FF821B4C"/>
        <bgColor indexed="64"/>
      </patternFill>
    </fill>
    <fill>
      <patternFill patternType="solid">
        <fgColor rgb="FFFF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FF00"/>
        <bgColor indexed="64"/>
      </patternFill>
    </fill>
  </fills>
  <borders count="2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style="thin">
        <color theme="0" tint="-0.14996795556505021"/>
      </right>
      <top style="thin">
        <color theme="0" tint="-4.9989318521683403E-2"/>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theme="0" tint="-4.9989318521683403E-2"/>
      </right>
      <top/>
      <bottom/>
      <diagonal/>
    </border>
    <border>
      <left style="thin">
        <color indexed="64"/>
      </left>
      <right style="thin">
        <color indexed="64"/>
      </right>
      <top/>
      <bottom/>
      <diagonal/>
    </border>
    <border>
      <left style="medium">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diagonal/>
    </border>
    <border>
      <left style="hair">
        <color auto="1"/>
      </left>
      <right style="medium">
        <color auto="1"/>
      </right>
      <top style="hair">
        <color auto="1"/>
      </top>
      <bottom/>
      <diagonal/>
    </border>
    <border>
      <left style="medium">
        <color indexed="64"/>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auto="1"/>
      </right>
      <top style="medium">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top style="medium">
        <color auto="1"/>
      </top>
      <bottom style="medium">
        <color auto="1"/>
      </bottom>
      <diagonal/>
    </border>
    <border>
      <left/>
      <right style="thin">
        <color theme="0"/>
      </right>
      <top style="medium">
        <color indexed="64"/>
      </top>
      <bottom style="medium">
        <color indexed="64"/>
      </bottom>
      <diagonal/>
    </border>
    <border>
      <left style="thin">
        <color theme="0" tint="-0.14996795556505021"/>
      </left>
      <right style="thin">
        <color theme="0" tint="-0.14996795556505021"/>
      </right>
      <top style="medium">
        <color indexed="64"/>
      </top>
      <bottom/>
      <diagonal/>
    </border>
    <border>
      <left style="thin">
        <color theme="0" tint="-0.14996795556505021"/>
      </left>
      <right style="thin">
        <color theme="0" tint="-0.14996795556505021"/>
      </right>
      <top style="medium">
        <color indexed="64"/>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14996795556505021"/>
      </left>
      <right/>
      <top style="medium">
        <color indexed="64"/>
      </top>
      <bottom style="thin">
        <color theme="0" tint="-0.14996795556505021"/>
      </bottom>
      <diagonal/>
    </border>
    <border>
      <left/>
      <right style="medium">
        <color indexed="64"/>
      </right>
      <top style="medium">
        <color indexed="64"/>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right style="medium">
        <color indexed="64"/>
      </right>
      <top style="thin">
        <color theme="0" tint="-0.14996795556505021"/>
      </top>
      <bottom/>
      <diagonal/>
    </border>
    <border>
      <left style="thin">
        <color theme="0" tint="-0.14996795556505021"/>
      </left>
      <right style="thin">
        <color theme="0" tint="-0.14996795556505021"/>
      </right>
      <top style="thin">
        <color theme="0" tint="-0.14996795556505021"/>
      </top>
      <bottom style="medium">
        <color indexed="64"/>
      </bottom>
      <diagonal/>
    </border>
    <border>
      <left style="medium">
        <color indexed="64"/>
      </left>
      <right style="medium">
        <color indexed="64"/>
      </right>
      <top style="thin">
        <color theme="0" tint="-0.14996795556505021"/>
      </top>
      <bottom style="medium">
        <color indexed="64"/>
      </bottom>
      <diagonal/>
    </border>
    <border>
      <left style="thin">
        <color theme="0" tint="-0.14996795556505021"/>
      </left>
      <right/>
      <top style="thin">
        <color theme="0" tint="-0.14996795556505021"/>
      </top>
      <bottom style="medium">
        <color indexed="64"/>
      </bottom>
      <diagonal/>
    </border>
    <border>
      <left/>
      <right style="medium">
        <color indexed="64"/>
      </right>
      <top style="thin">
        <color theme="0" tint="-0.14996795556505021"/>
      </top>
      <bottom style="medium">
        <color indexed="64"/>
      </bottom>
      <diagonal/>
    </border>
    <border>
      <left/>
      <right/>
      <top/>
      <bottom style="thin">
        <color indexed="64"/>
      </bottom>
      <diagonal/>
    </border>
    <border>
      <left style="thin">
        <color indexed="64"/>
      </left>
      <right/>
      <top style="thin">
        <color indexed="64"/>
      </top>
      <bottom style="thin">
        <color theme="0" tint="-4.9989318521683403E-2"/>
      </bottom>
      <diagonal/>
    </border>
    <border>
      <left style="thin">
        <color indexed="64"/>
      </left>
      <right/>
      <top style="thin">
        <color theme="0" tint="-4.9989318521683403E-2"/>
      </top>
      <bottom style="thin">
        <color theme="0" tint="-4.9989318521683403E-2"/>
      </bottom>
      <diagonal/>
    </border>
    <border>
      <left style="thin">
        <color indexed="64"/>
      </left>
      <right/>
      <top style="thin">
        <color theme="0" tint="-4.9989318521683403E-2"/>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theme="0" tint="-4.9989318521683403E-2"/>
      </bottom>
      <diagonal/>
    </border>
    <border>
      <left style="thin">
        <color indexed="64"/>
      </left>
      <right style="medium">
        <color indexed="64"/>
      </right>
      <top style="thin">
        <color theme="0" tint="-4.9989318521683403E-2"/>
      </top>
      <bottom style="thin">
        <color theme="0" tint="-4.9989318521683403E-2"/>
      </bottom>
      <diagonal/>
    </border>
    <border>
      <left style="thin">
        <color indexed="64"/>
      </left>
      <right style="medium">
        <color indexed="64"/>
      </right>
      <top style="thin">
        <color theme="0" tint="-4.9989318521683403E-2"/>
      </top>
      <bottom style="thin">
        <color indexed="64"/>
      </bottom>
      <diagonal/>
    </border>
    <border>
      <left style="thin">
        <color indexed="64"/>
      </left>
      <right style="medium">
        <color indexed="64"/>
      </right>
      <top/>
      <bottom style="medium">
        <color indexed="64"/>
      </bottom>
      <diagonal/>
    </border>
    <border>
      <left/>
      <right style="medium">
        <color indexed="64"/>
      </right>
      <top/>
      <bottom style="thin">
        <color theme="0" tint="-0.14996795556505021"/>
      </bottom>
      <diagonal/>
    </border>
    <border>
      <left style="medium">
        <color indexed="64"/>
      </left>
      <right style="medium">
        <color indexed="64"/>
      </right>
      <top style="thin">
        <color theme="0" tint="-0.14996795556505021"/>
      </top>
      <bottom/>
      <diagonal/>
    </border>
    <border>
      <left style="thin">
        <color theme="0" tint="-0.14996795556505021"/>
      </left>
      <right/>
      <top style="thin">
        <color theme="0" tint="-0.14996795556505021"/>
      </top>
      <bottom/>
      <diagonal/>
    </border>
    <border>
      <left style="medium">
        <color indexed="64"/>
      </left>
      <right style="medium">
        <color indexed="64"/>
      </right>
      <top/>
      <bottom style="thin">
        <color theme="0" tint="-0.14996795556505021"/>
      </bottom>
      <diagonal/>
    </border>
    <border>
      <left style="thin">
        <color theme="0" tint="-0.14996795556505021"/>
      </left>
      <right/>
      <top/>
      <bottom style="thin">
        <color theme="0" tint="-0.14996795556505021"/>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14996795556505021"/>
      </left>
      <right/>
      <top/>
      <bottom style="medium">
        <color indexed="64"/>
      </bottom>
      <diagonal/>
    </border>
    <border>
      <left style="thin">
        <color theme="0" tint="-0.14996795556505021"/>
      </left>
      <right/>
      <top style="medium">
        <color indexed="64"/>
      </top>
      <bottom style="medium">
        <color indexed="64"/>
      </bottom>
      <diagonal/>
    </border>
    <border>
      <left style="medium">
        <color indexed="64"/>
      </left>
      <right/>
      <top style="medium">
        <color indexed="64"/>
      </top>
      <bottom style="thin">
        <color theme="0" tint="-0.14996795556505021"/>
      </bottom>
      <diagonal/>
    </border>
    <border>
      <left style="medium">
        <color indexed="64"/>
      </left>
      <right/>
      <top style="thin">
        <color theme="0" tint="-0.14996795556505021"/>
      </top>
      <bottom style="thin">
        <color theme="0" tint="-0.14996795556505021"/>
      </bottom>
      <diagonal/>
    </border>
    <border>
      <left style="medium">
        <color indexed="64"/>
      </left>
      <right/>
      <top style="thin">
        <color theme="0" tint="-0.14996795556505021"/>
      </top>
      <bottom style="medium">
        <color indexed="64"/>
      </bottom>
      <diagonal/>
    </border>
    <border>
      <left style="thin">
        <color theme="0" tint="-0.14996795556505021"/>
      </left>
      <right/>
      <top/>
      <bottom/>
      <diagonal/>
    </border>
    <border>
      <left style="thin">
        <color theme="0" tint="-0.14996795556505021"/>
      </left>
      <right/>
      <top style="medium">
        <color indexed="64"/>
      </top>
      <bottom/>
      <diagonal/>
    </border>
    <border>
      <left style="medium">
        <color indexed="64"/>
      </left>
      <right style="hair">
        <color indexed="64"/>
      </right>
      <top style="medium">
        <color indexed="64"/>
      </top>
      <bottom style="thin">
        <color theme="0" tint="-0.14996795556505021"/>
      </bottom>
      <diagonal/>
    </border>
    <border>
      <left style="medium">
        <color indexed="64"/>
      </left>
      <right style="hair">
        <color indexed="64"/>
      </right>
      <top style="thin">
        <color theme="0" tint="-0.14996795556505021"/>
      </top>
      <bottom style="thin">
        <color theme="0" tint="-0.14996795556505021"/>
      </bottom>
      <diagonal/>
    </border>
    <border>
      <left style="medium">
        <color indexed="64"/>
      </left>
      <right style="hair">
        <color indexed="64"/>
      </right>
      <top style="thin">
        <color theme="0" tint="-0.14996795556505021"/>
      </top>
      <bottom/>
      <diagonal/>
    </border>
    <border>
      <left style="medium">
        <color indexed="64"/>
      </left>
      <right style="hair">
        <color indexed="64"/>
      </right>
      <top style="thin">
        <color theme="0" tint="-0.14996795556505021"/>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theme="0" tint="-0.14996795556505021"/>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medium">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medium">
        <color indexed="64"/>
      </bottom>
      <diagonal/>
    </border>
    <border>
      <left/>
      <right/>
      <top/>
      <bottom style="thin">
        <color theme="0" tint="-0.14996795556505021"/>
      </bottom>
      <diagonal/>
    </border>
    <border>
      <left style="medium">
        <color rgb="FFBFBFBF"/>
      </left>
      <right style="medium">
        <color indexed="64"/>
      </right>
      <top style="medium">
        <color indexed="64"/>
      </top>
      <bottom/>
      <diagonal/>
    </border>
    <border>
      <left style="medium">
        <color rgb="FFBFBFBF"/>
      </left>
      <right style="medium">
        <color indexed="64"/>
      </right>
      <top/>
      <bottom style="medium">
        <color indexed="64"/>
      </bottom>
      <diagonal/>
    </border>
    <border>
      <left style="medium">
        <color rgb="FFBFBFBF"/>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theme="0" tint="-4.9989318521683403E-2"/>
      </bottom>
      <diagonal/>
    </border>
    <border>
      <left style="medium">
        <color indexed="64"/>
      </left>
      <right style="medium">
        <color indexed="64"/>
      </right>
      <top style="thin">
        <color theme="0" tint="-4.9989318521683403E-2"/>
      </top>
      <bottom style="thin">
        <color theme="0" tint="-4.9989318521683403E-2"/>
      </bottom>
      <diagonal/>
    </border>
    <border>
      <left style="medium">
        <color indexed="64"/>
      </left>
      <right style="medium">
        <color indexed="64"/>
      </right>
      <top style="thin">
        <color theme="0" tint="-4.9989318521683403E-2"/>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theme="0" tint="-4.9989318521683403E-2"/>
      </top>
      <bottom style="medium">
        <color indexed="64"/>
      </bottom>
      <diagonal/>
    </border>
    <border>
      <left style="thick">
        <color rgb="FF821B4C"/>
      </left>
      <right style="thick">
        <color rgb="FF821B4C"/>
      </right>
      <top style="thick">
        <color rgb="FF821B4C"/>
      </top>
      <bottom style="thick">
        <color rgb="FF821B4C"/>
      </bottom>
      <diagonal/>
    </border>
    <border>
      <left style="medium">
        <color rgb="FF821B4C"/>
      </left>
      <right style="medium">
        <color rgb="FF821B4C"/>
      </right>
      <top style="medium">
        <color rgb="FF821B4C"/>
      </top>
      <bottom/>
      <diagonal/>
    </border>
    <border>
      <left style="medium">
        <color rgb="FF821B4C"/>
      </left>
      <right style="medium">
        <color rgb="FF821B4C"/>
      </right>
      <top style="thick">
        <color rgb="FF821B4C"/>
      </top>
      <bottom style="thick">
        <color rgb="FF821B4C"/>
      </bottom>
      <diagonal/>
    </border>
    <border>
      <left/>
      <right/>
      <top style="thin">
        <color theme="0"/>
      </top>
      <bottom style="thin">
        <color theme="0"/>
      </bottom>
      <diagonal/>
    </border>
    <border>
      <left style="thick">
        <color theme="1" tint="0.34998626667073579"/>
      </left>
      <right style="thick">
        <color theme="1" tint="0.34998626667073579"/>
      </right>
      <top style="thick">
        <color theme="1" tint="0.34998626667073579"/>
      </top>
      <bottom/>
      <diagonal/>
    </border>
    <border>
      <left style="thick">
        <color theme="1" tint="0.34998626667073579"/>
      </left>
      <right style="thick">
        <color theme="1" tint="0.34998626667073579"/>
      </right>
      <top/>
      <bottom/>
      <diagonal/>
    </border>
    <border>
      <left style="thick">
        <color theme="1" tint="0.34998626667073579"/>
      </left>
      <right style="thick">
        <color theme="1" tint="0.34998626667073579"/>
      </right>
      <top/>
      <bottom style="thick">
        <color theme="1" tint="0.34998626667073579"/>
      </bottom>
      <diagonal/>
    </border>
    <border>
      <left style="medium">
        <color indexed="64"/>
      </left>
      <right style="medium">
        <color theme="0" tint="-0.24994659260841701"/>
      </right>
      <top style="medium">
        <color indexed="64"/>
      </top>
      <bottom style="medium">
        <color theme="0" tint="-0.24994659260841701"/>
      </bottom>
      <diagonal/>
    </border>
    <border>
      <left style="medium">
        <color theme="0" tint="-0.24994659260841701"/>
      </left>
      <right style="medium">
        <color theme="0" tint="-0.24994659260841701"/>
      </right>
      <top style="medium">
        <color indexed="64"/>
      </top>
      <bottom style="medium">
        <color theme="0" tint="-0.24994659260841701"/>
      </bottom>
      <diagonal/>
    </border>
    <border>
      <left style="medium">
        <color theme="0" tint="-0.24994659260841701"/>
      </left>
      <right style="medium">
        <color indexed="64"/>
      </right>
      <top style="medium">
        <color indexed="64"/>
      </top>
      <bottom style="medium">
        <color theme="0" tint="-0.24994659260841701"/>
      </bottom>
      <diagonal/>
    </border>
    <border>
      <left style="medium">
        <color indexed="64"/>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indexed="64"/>
      </right>
      <top style="medium">
        <color theme="0" tint="-0.24994659260841701"/>
      </top>
      <bottom style="medium">
        <color theme="0" tint="-0.24994659260841701"/>
      </bottom>
      <diagonal/>
    </border>
    <border>
      <left style="medium">
        <color indexed="64"/>
      </left>
      <right style="medium">
        <color theme="0" tint="-0.24994659260841701"/>
      </right>
      <top style="medium">
        <color theme="0" tint="-0.24994659260841701"/>
      </top>
      <bottom style="medium">
        <color indexed="64"/>
      </bottom>
      <diagonal/>
    </border>
    <border>
      <left style="medium">
        <color theme="0" tint="-0.24994659260841701"/>
      </left>
      <right style="medium">
        <color theme="0" tint="-0.24994659260841701"/>
      </right>
      <top style="medium">
        <color theme="0" tint="-0.24994659260841701"/>
      </top>
      <bottom style="medium">
        <color indexed="64"/>
      </bottom>
      <diagonal/>
    </border>
    <border>
      <left style="medium">
        <color theme="0" tint="-0.24994659260841701"/>
      </left>
      <right style="medium">
        <color indexed="64"/>
      </right>
      <top style="medium">
        <color theme="0" tint="-0.24994659260841701"/>
      </top>
      <bottom style="medium">
        <color indexed="64"/>
      </bottom>
      <diagonal/>
    </border>
    <border>
      <left style="medium">
        <color indexed="64"/>
      </left>
      <right style="medium">
        <color indexed="64"/>
      </right>
      <top style="medium">
        <color indexed="64"/>
      </top>
      <bottom style="dashed">
        <color theme="0" tint="-0.14996795556505021"/>
      </bottom>
      <diagonal/>
    </border>
    <border>
      <left style="medium">
        <color indexed="64"/>
      </left>
      <right style="medium">
        <color indexed="64"/>
      </right>
      <top style="dashed">
        <color theme="0" tint="-0.14996795556505021"/>
      </top>
      <bottom style="dashed">
        <color theme="0" tint="-0.14996795556505021"/>
      </bottom>
      <diagonal/>
    </border>
    <border>
      <left style="medium">
        <color indexed="64"/>
      </left>
      <right style="medium">
        <color indexed="64"/>
      </right>
      <top style="dashed">
        <color theme="0" tint="-0.14996795556505021"/>
      </top>
      <bottom style="medium">
        <color indexed="64"/>
      </bottom>
      <diagonal/>
    </border>
    <border>
      <left style="medium">
        <color indexed="64"/>
      </left>
      <right style="hair">
        <color theme="0" tint="-0.14996795556505021"/>
      </right>
      <top style="medium">
        <color indexed="64"/>
      </top>
      <bottom style="hair">
        <color theme="0" tint="-0.14996795556505021"/>
      </bottom>
      <diagonal/>
    </border>
    <border>
      <left style="hair">
        <color theme="0" tint="-0.14996795556505021"/>
      </left>
      <right style="hair">
        <color theme="0" tint="-0.14996795556505021"/>
      </right>
      <top style="medium">
        <color indexed="64"/>
      </top>
      <bottom style="hair">
        <color theme="0" tint="-0.14996795556505021"/>
      </bottom>
      <diagonal/>
    </border>
    <border>
      <left style="hair">
        <color theme="0" tint="-0.14996795556505021"/>
      </left>
      <right style="medium">
        <color indexed="64"/>
      </right>
      <top style="medium">
        <color indexed="64"/>
      </top>
      <bottom style="hair">
        <color theme="0" tint="-0.14996795556505021"/>
      </bottom>
      <diagonal/>
    </border>
    <border>
      <left style="medium">
        <color indexed="64"/>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medium">
        <color indexed="64"/>
      </right>
      <top style="hair">
        <color theme="0" tint="-0.14996795556505021"/>
      </top>
      <bottom style="hair">
        <color theme="0" tint="-0.14996795556505021"/>
      </bottom>
      <diagonal/>
    </border>
    <border>
      <left style="medium">
        <color indexed="64"/>
      </left>
      <right style="hair">
        <color theme="0" tint="-0.14996795556505021"/>
      </right>
      <top style="hair">
        <color theme="0" tint="-0.14996795556505021"/>
      </top>
      <bottom style="medium">
        <color indexed="64"/>
      </bottom>
      <diagonal/>
    </border>
    <border>
      <left style="hair">
        <color theme="0" tint="-0.14996795556505021"/>
      </left>
      <right style="hair">
        <color theme="0" tint="-0.14996795556505021"/>
      </right>
      <top style="hair">
        <color theme="0" tint="-0.14996795556505021"/>
      </top>
      <bottom style="medium">
        <color indexed="64"/>
      </bottom>
      <diagonal/>
    </border>
    <border>
      <left style="hair">
        <color theme="0" tint="-0.14996795556505021"/>
      </left>
      <right style="medium">
        <color indexed="64"/>
      </right>
      <top style="hair">
        <color theme="0" tint="-0.14996795556505021"/>
      </top>
      <bottom style="medium">
        <color indexed="64"/>
      </bottom>
      <diagonal/>
    </border>
    <border>
      <left style="medium">
        <color indexed="64"/>
      </left>
      <right style="medium">
        <color indexed="64"/>
      </right>
      <top style="medium">
        <color indexed="64"/>
      </top>
      <bottom style="hair">
        <color theme="0" tint="-0.14996795556505021"/>
      </bottom>
      <diagonal/>
    </border>
    <border>
      <left style="medium">
        <color indexed="64"/>
      </left>
      <right style="medium">
        <color indexed="64"/>
      </right>
      <top style="hair">
        <color theme="0" tint="-0.14996795556505021"/>
      </top>
      <bottom style="hair">
        <color theme="0" tint="-0.14996795556505021"/>
      </bottom>
      <diagonal/>
    </border>
    <border>
      <left style="medium">
        <color indexed="64"/>
      </left>
      <right style="medium">
        <color indexed="64"/>
      </right>
      <top style="hair">
        <color theme="0" tint="-0.14996795556505021"/>
      </top>
      <bottom style="medium">
        <color indexed="64"/>
      </bottom>
      <diagonal/>
    </border>
    <border>
      <left style="hair">
        <color theme="0" tint="-0.14996795556505021"/>
      </left>
      <right style="hair">
        <color theme="0" tint="-0.14996795556505021"/>
      </right>
      <top style="hair">
        <color theme="0" tint="-0.14996795556505021"/>
      </top>
      <bottom style="thin">
        <color theme="0" tint="-0.14996795556505021"/>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medium">
        <color indexed="64"/>
      </right>
      <top style="hair">
        <color theme="0" tint="-0.14996795556505021"/>
      </top>
      <bottom/>
      <diagonal/>
    </border>
    <border>
      <left/>
      <right/>
      <top style="thin">
        <color theme="0" tint="-0.14996795556505021"/>
      </top>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style="hair">
        <color theme="0" tint="-0.14996795556505021"/>
      </right>
      <top style="thin">
        <color theme="0" tint="-0.14996795556505021"/>
      </top>
      <bottom style="hair">
        <color theme="0" tint="-0.14996795556505021"/>
      </bottom>
      <diagonal/>
    </border>
    <border>
      <left style="hair">
        <color theme="0" tint="-0.14996795556505021"/>
      </left>
      <right style="medium">
        <color indexed="64"/>
      </right>
      <top style="thin">
        <color theme="0" tint="-0.14996795556505021"/>
      </top>
      <bottom style="hair">
        <color theme="0" tint="-0.14996795556505021"/>
      </bottom>
      <diagonal/>
    </border>
    <border>
      <left style="hair">
        <color theme="0" tint="-0.14996795556505021"/>
      </left>
      <right style="thin">
        <color theme="0" tint="-0.14996795556505021"/>
      </right>
      <top style="medium">
        <color indexed="64"/>
      </top>
      <bottom style="hair">
        <color theme="0" tint="-0.14996795556505021"/>
      </bottom>
      <diagonal/>
    </border>
    <border>
      <left style="hair">
        <color theme="0" tint="-0.14996795556505021"/>
      </left>
      <right style="thin">
        <color theme="0" tint="-0.14996795556505021"/>
      </right>
      <top style="hair">
        <color theme="0" tint="-0.14996795556505021"/>
      </top>
      <bottom style="hair">
        <color theme="0" tint="-0.14996795556505021"/>
      </bottom>
      <diagonal/>
    </border>
    <border>
      <left style="hair">
        <color theme="0" tint="-0.14996795556505021"/>
      </left>
      <right style="thin">
        <color theme="0" tint="-0.14996795556505021"/>
      </right>
      <top style="hair">
        <color theme="0" tint="-0.14996795556505021"/>
      </top>
      <bottom style="medium">
        <color indexed="64"/>
      </bottom>
      <diagonal/>
    </border>
    <border>
      <left style="medium">
        <color indexed="64"/>
      </left>
      <right style="hair">
        <color theme="0" tint="-4.9989318521683403E-2"/>
      </right>
      <top style="medium">
        <color indexed="64"/>
      </top>
      <bottom style="medium">
        <color indexed="64"/>
      </bottom>
      <diagonal/>
    </border>
    <border>
      <left style="hair">
        <color theme="0" tint="-4.9989318521683403E-2"/>
      </left>
      <right style="hair">
        <color theme="0" tint="-4.9989318521683403E-2"/>
      </right>
      <top style="medium">
        <color indexed="64"/>
      </top>
      <bottom style="medium">
        <color indexed="64"/>
      </bottom>
      <diagonal/>
    </border>
    <border>
      <left style="hair">
        <color theme="0" tint="-4.9989318521683403E-2"/>
      </left>
      <right style="medium">
        <color indexed="64"/>
      </right>
      <top style="medium">
        <color indexed="64"/>
      </top>
      <bottom style="medium">
        <color indexed="64"/>
      </bottom>
      <diagonal/>
    </border>
    <border>
      <left style="medium">
        <color indexed="64"/>
      </left>
      <right style="medium">
        <color theme="0" tint="-4.9989318521683403E-2"/>
      </right>
      <top style="medium">
        <color indexed="64"/>
      </top>
      <bottom style="medium">
        <color theme="0" tint="-4.9989318521683403E-2"/>
      </bottom>
      <diagonal/>
    </border>
    <border>
      <left style="medium">
        <color theme="0" tint="-4.9989318521683403E-2"/>
      </left>
      <right style="medium">
        <color theme="0" tint="-4.9989318521683403E-2"/>
      </right>
      <top style="medium">
        <color indexed="64"/>
      </top>
      <bottom style="medium">
        <color theme="0" tint="-4.9989318521683403E-2"/>
      </bottom>
      <diagonal/>
    </border>
    <border>
      <left style="medium">
        <color theme="0" tint="-4.9989318521683403E-2"/>
      </left>
      <right style="medium">
        <color indexed="64"/>
      </right>
      <top style="medium">
        <color indexed="64"/>
      </top>
      <bottom style="medium">
        <color theme="0" tint="-4.9989318521683403E-2"/>
      </bottom>
      <diagonal/>
    </border>
    <border>
      <left style="medium">
        <color indexed="64"/>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theme="0" tint="-4.9989318521683403E-2"/>
      </right>
      <top style="medium">
        <color theme="0" tint="-4.9989318521683403E-2"/>
      </top>
      <bottom style="medium">
        <color theme="0" tint="-4.9989318521683403E-2"/>
      </bottom>
      <diagonal/>
    </border>
    <border>
      <left style="medium">
        <color theme="0" tint="-4.9989318521683403E-2"/>
      </left>
      <right style="medium">
        <color indexed="64"/>
      </right>
      <top style="medium">
        <color theme="0" tint="-4.9989318521683403E-2"/>
      </top>
      <bottom style="medium">
        <color theme="0" tint="-4.9989318521683403E-2"/>
      </bottom>
      <diagonal/>
    </border>
    <border>
      <left style="medium">
        <color indexed="64"/>
      </left>
      <right style="medium">
        <color theme="0" tint="-4.9989318521683403E-2"/>
      </right>
      <top style="medium">
        <color theme="0" tint="-4.9989318521683403E-2"/>
      </top>
      <bottom style="medium">
        <color indexed="64"/>
      </bottom>
      <diagonal/>
    </border>
    <border>
      <left style="medium">
        <color theme="0" tint="-4.9989318521683403E-2"/>
      </left>
      <right style="medium">
        <color theme="0" tint="-4.9989318521683403E-2"/>
      </right>
      <top style="medium">
        <color theme="0" tint="-4.9989318521683403E-2"/>
      </top>
      <bottom style="medium">
        <color indexed="64"/>
      </bottom>
      <diagonal/>
    </border>
    <border>
      <left style="medium">
        <color theme="0" tint="-4.9989318521683403E-2"/>
      </left>
      <right style="medium">
        <color indexed="64"/>
      </right>
      <top style="medium">
        <color theme="0" tint="-4.9989318521683403E-2"/>
      </top>
      <bottom style="medium">
        <color indexed="64"/>
      </bottom>
      <diagonal/>
    </border>
    <border>
      <left style="medium">
        <color indexed="64"/>
      </left>
      <right style="medium">
        <color theme="0" tint="-4.9989318521683403E-2"/>
      </right>
      <top style="medium">
        <color theme="0" tint="-4.9989318521683403E-2"/>
      </top>
      <bottom/>
      <diagonal/>
    </border>
    <border>
      <left style="medium">
        <color indexed="64"/>
      </left>
      <right style="medium">
        <color theme="0" tint="-4.9989318521683403E-2"/>
      </right>
      <top/>
      <bottom/>
      <diagonal/>
    </border>
    <border>
      <left style="medium">
        <color indexed="64"/>
      </left>
      <right style="medium">
        <color theme="0" tint="-4.9989318521683403E-2"/>
      </right>
      <top/>
      <bottom style="medium">
        <color theme="0" tint="-4.9989318521683403E-2"/>
      </bottom>
      <diagonal/>
    </border>
    <border>
      <left style="medium">
        <color theme="0" tint="-4.9989318521683403E-2"/>
      </left>
      <right style="medium">
        <color theme="0" tint="-4.9989318521683403E-2"/>
      </right>
      <top style="medium">
        <color theme="0" tint="-4.9989318521683403E-2"/>
      </top>
      <bottom/>
      <diagonal/>
    </border>
    <border>
      <left style="medium">
        <color theme="0" tint="-4.9989318521683403E-2"/>
      </left>
      <right style="medium">
        <color theme="0" tint="-4.9989318521683403E-2"/>
      </right>
      <top/>
      <bottom/>
      <diagonal/>
    </border>
    <border>
      <left style="medium">
        <color theme="0" tint="-4.9989318521683403E-2"/>
      </left>
      <right style="medium">
        <color theme="0" tint="-4.9989318521683403E-2"/>
      </right>
      <top/>
      <bottom style="medium">
        <color theme="0" tint="-4.9989318521683403E-2"/>
      </bottom>
      <diagonal/>
    </border>
    <border>
      <left style="medium">
        <color theme="0" tint="-4.9989318521683403E-2"/>
      </left>
      <right style="medium">
        <color indexed="64"/>
      </right>
      <top/>
      <bottom style="medium">
        <color theme="0" tint="-4.9989318521683403E-2"/>
      </bottom>
      <diagonal/>
    </border>
    <border>
      <left style="medium">
        <color theme="0" tint="-4.9989318521683403E-2"/>
      </left>
      <right style="medium">
        <color theme="0" tint="-4.9989318521683403E-2"/>
      </right>
      <top style="medium">
        <color indexed="64"/>
      </top>
      <bottom/>
      <diagonal/>
    </border>
    <border>
      <left style="medium">
        <color indexed="64"/>
      </left>
      <right style="medium">
        <color theme="0" tint="-4.9989318521683403E-2"/>
      </right>
      <top style="medium">
        <color indexed="64"/>
      </top>
      <bottom/>
      <diagonal/>
    </border>
    <border>
      <left style="medium">
        <color indexed="64"/>
      </left>
      <right style="medium">
        <color theme="0" tint="-4.9989318521683403E-2"/>
      </right>
      <top style="medium">
        <color indexed="64"/>
      </top>
      <bottom style="medium">
        <color indexed="64"/>
      </bottom>
      <diagonal/>
    </border>
    <border>
      <left style="medium">
        <color theme="0" tint="-4.9989318521683403E-2"/>
      </left>
      <right style="medium">
        <color theme="0" tint="-4.9989318521683403E-2"/>
      </right>
      <top style="medium">
        <color indexed="64"/>
      </top>
      <bottom style="medium">
        <color indexed="64"/>
      </bottom>
      <diagonal/>
    </border>
    <border>
      <left style="medium">
        <color theme="0" tint="-4.9989318521683403E-2"/>
      </left>
      <right style="medium">
        <color indexed="64"/>
      </right>
      <top style="medium">
        <color indexed="64"/>
      </top>
      <bottom style="medium">
        <color indexed="64"/>
      </bottom>
      <diagonal/>
    </border>
    <border>
      <left style="medium">
        <color theme="0" tint="-4.9989318521683403E-2"/>
      </left>
      <right/>
      <top style="medium">
        <color indexed="64"/>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style="medium">
        <color theme="0" tint="-4.9989318521683403E-2"/>
      </left>
      <right/>
      <top style="medium">
        <color theme="0" tint="-4.9989318521683403E-2"/>
      </top>
      <bottom style="medium">
        <color indexed="64"/>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style="medium">
        <color indexed="64"/>
      </left>
      <right style="thin">
        <color theme="0" tint="-0.14996795556505021"/>
      </right>
      <top style="medium">
        <color indexed="64"/>
      </top>
      <bottom style="thin">
        <color theme="0" tint="-4.9989318521683403E-2"/>
      </bottom>
      <diagonal/>
    </border>
    <border>
      <left style="thin">
        <color theme="0" tint="-4.9989318521683403E-2"/>
      </left>
      <right style="medium">
        <color indexed="64"/>
      </right>
      <top style="medium">
        <color indexed="64"/>
      </top>
      <bottom style="thin">
        <color theme="0" tint="-4.9989318521683403E-2"/>
      </bottom>
      <diagonal/>
    </border>
    <border>
      <left style="medium">
        <color indexed="64"/>
      </left>
      <right style="thin">
        <color theme="0" tint="-0.14996795556505021"/>
      </right>
      <top style="thin">
        <color theme="0" tint="-4.9989318521683403E-2"/>
      </top>
      <bottom style="thin">
        <color theme="0" tint="-4.9989318521683403E-2"/>
      </bottom>
      <diagonal/>
    </border>
    <border>
      <left style="thin">
        <color theme="0" tint="-4.9989318521683403E-2"/>
      </left>
      <right style="medium">
        <color indexed="64"/>
      </right>
      <top style="thin">
        <color theme="0" tint="-4.9989318521683403E-2"/>
      </top>
      <bottom style="thin">
        <color theme="0" tint="-4.9989318521683403E-2"/>
      </bottom>
      <diagonal/>
    </border>
    <border>
      <left style="medium">
        <color indexed="64"/>
      </left>
      <right style="thin">
        <color theme="0" tint="-0.14996795556505021"/>
      </right>
      <top style="thin">
        <color theme="0" tint="-4.9989318521683403E-2"/>
      </top>
      <bottom style="medium">
        <color indexed="64"/>
      </bottom>
      <diagonal/>
    </border>
    <border>
      <left style="thin">
        <color theme="0" tint="-0.14996795556505021"/>
      </left>
      <right style="medium">
        <color indexed="64"/>
      </right>
      <top style="thin">
        <color theme="0" tint="-4.9989318521683403E-2"/>
      </top>
      <bottom style="medium">
        <color indexed="64"/>
      </bottom>
      <diagonal/>
    </border>
    <border>
      <left style="thin">
        <color theme="0" tint="-4.9989318521683403E-2"/>
      </left>
      <right style="medium">
        <color indexed="64"/>
      </right>
      <top style="thin">
        <color theme="0" tint="-4.9989318521683403E-2"/>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theme="0" tint="-4.9989318521683403E-2"/>
      </bottom>
      <diagonal/>
    </border>
    <border>
      <left style="medium">
        <color indexed="64"/>
      </left>
      <right/>
      <top style="thin">
        <color theme="0" tint="-4.9989318521683403E-2"/>
      </top>
      <bottom style="thin">
        <color theme="0" tint="-4.9989318521683403E-2"/>
      </bottom>
      <diagonal/>
    </border>
    <border>
      <left style="medium">
        <color indexed="64"/>
      </left>
      <right/>
      <top style="thin">
        <color theme="0" tint="-4.9989318521683403E-2"/>
      </top>
      <bottom style="thin">
        <color indexed="64"/>
      </bottom>
      <diagonal/>
    </border>
    <border>
      <left style="medium">
        <color indexed="64"/>
      </left>
      <right/>
      <top/>
      <bottom style="thin">
        <color indexed="64"/>
      </bottom>
      <diagonal/>
    </border>
    <border>
      <left style="medium">
        <color indexed="64"/>
      </left>
      <right/>
      <top style="thin">
        <color theme="0" tint="-4.9989318521683403E-2"/>
      </top>
      <bottom style="medium">
        <color indexed="64"/>
      </bottom>
      <diagonal/>
    </border>
    <border>
      <left style="thin">
        <color indexed="64"/>
      </left>
      <right style="medium">
        <color indexed="64"/>
      </right>
      <top style="thin">
        <color theme="0" tint="-4.9989318521683403E-2"/>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tint="-4.9989318521683403E-2"/>
      </left>
      <right style="medium">
        <color indexed="64"/>
      </right>
      <top style="thin">
        <color theme="0" tint="-4.9989318521683403E-2"/>
      </top>
      <bottom style="thin">
        <color indexed="64"/>
      </bottom>
      <diagonal/>
    </border>
    <border>
      <left style="medium">
        <color indexed="64"/>
      </left>
      <right style="medium">
        <color indexed="64"/>
      </right>
      <top/>
      <bottom style="medium">
        <color rgb="FF821B4C"/>
      </bottom>
      <diagonal/>
    </border>
    <border>
      <left style="thin">
        <color theme="0" tint="-4.9989318521683403E-2"/>
      </left>
      <right style="thin">
        <color theme="0"/>
      </right>
      <top style="thin">
        <color theme="0"/>
      </top>
      <bottom style="thin">
        <color theme="0"/>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style="thin">
        <color theme="0" tint="-4.9989318521683403E-2"/>
      </left>
      <right/>
      <top style="thin">
        <color theme="0" tint="-4.9989318521683403E-2"/>
      </top>
      <bottom/>
      <diagonal/>
    </border>
    <border>
      <left style="medium">
        <color indexed="64"/>
      </left>
      <right style="medium">
        <color indexed="64"/>
      </right>
      <top style="medium">
        <color rgb="FF821B4C"/>
      </top>
      <bottom/>
      <diagonal/>
    </border>
    <border>
      <left style="thick">
        <color theme="1" tint="0.34998626667073579"/>
      </left>
      <right/>
      <top/>
      <bottom/>
      <diagonal/>
    </border>
    <border>
      <left style="thin">
        <color theme="0"/>
      </left>
      <right style="thin">
        <color indexed="64"/>
      </right>
      <top style="thin">
        <color theme="0" tint="-4.9989318521683403E-2"/>
      </top>
      <bottom style="thin">
        <color theme="0"/>
      </bottom>
      <diagonal/>
    </border>
    <border>
      <left style="thin">
        <color indexed="64"/>
      </left>
      <right style="thin">
        <color theme="0" tint="-4.9989318521683403E-2"/>
      </right>
      <top style="thin">
        <color theme="0" tint="-4.9989318521683403E-2"/>
      </top>
      <bottom/>
      <diagonal/>
    </border>
    <border>
      <left style="thin">
        <color theme="0" tint="-4.9989318521683403E-2"/>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int="-4.9989318521683403E-2"/>
      </top>
      <bottom style="thin">
        <color indexed="64"/>
      </bottom>
      <diagonal/>
    </border>
    <border>
      <left style="thin">
        <color indexed="64"/>
      </left>
      <right style="thin">
        <color theme="0" tint="-4.9989318521683403E-2"/>
      </right>
      <top style="thin">
        <color indexed="64"/>
      </top>
      <bottom/>
      <diagonal/>
    </border>
    <border>
      <left/>
      <right style="thin">
        <color theme="0" tint="-4.9989318521683403E-2"/>
      </right>
      <top style="thin">
        <color indexed="64"/>
      </top>
      <bottom/>
      <diagonal/>
    </border>
    <border>
      <left style="thin">
        <color theme="0" tint="-4.9989318521683403E-2"/>
      </left>
      <right style="thin">
        <color theme="0" tint="-4.9989318521683403E-2"/>
      </right>
      <top style="thin">
        <color indexed="64"/>
      </top>
      <bottom/>
      <diagonal/>
    </border>
    <border>
      <left style="thin">
        <color theme="0" tint="-4.9989318521683403E-2"/>
      </left>
      <right style="thin">
        <color indexed="64"/>
      </right>
      <top style="thin">
        <color indexed="64"/>
      </top>
      <bottom/>
      <diagonal/>
    </border>
    <border>
      <left style="thin">
        <color theme="0" tint="-4.9989318521683403E-2"/>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medium">
        <color theme="0" tint="-4.9989318521683403E-2"/>
      </left>
      <right style="medium">
        <color indexed="64"/>
      </right>
      <top style="medium">
        <color theme="0" tint="-4.9989318521683403E-2"/>
      </top>
      <bottom/>
      <diagonal/>
    </border>
    <border>
      <left style="medium">
        <color indexed="64"/>
      </left>
      <right style="medium">
        <color theme="0" tint="-4.9989318521683403E-2"/>
      </right>
      <top/>
      <bottom style="medium">
        <color indexed="64"/>
      </bottom>
      <diagonal/>
    </border>
    <border>
      <left style="medium">
        <color theme="0" tint="-4.9989318521683403E-2"/>
      </left>
      <right style="medium">
        <color theme="0" tint="-4.9989318521683403E-2"/>
      </right>
      <top/>
      <bottom style="medium">
        <color indexed="64"/>
      </bottom>
      <diagonal/>
    </border>
    <border>
      <left style="medium">
        <color theme="0" tint="-4.9989318521683403E-2"/>
      </left>
      <right style="medium">
        <color indexed="64"/>
      </right>
      <top/>
      <bottom style="medium">
        <color indexed="64"/>
      </bottom>
      <diagonal/>
    </border>
    <border>
      <left style="medium">
        <color theme="0" tint="-4.9989318521683403E-2"/>
      </left>
      <right style="medium">
        <color indexed="64"/>
      </right>
      <top style="medium">
        <color indexed="64"/>
      </top>
      <bottom/>
      <diagonal/>
    </border>
    <border>
      <left style="thin">
        <color theme="0" tint="-0.14996795556505021"/>
      </left>
      <right style="medium">
        <color indexed="64"/>
      </right>
      <top style="medium">
        <color indexed="64"/>
      </top>
      <bottom/>
      <diagonal/>
    </border>
    <border>
      <left style="thin">
        <color theme="0" tint="-0.14996795556505021"/>
      </left>
      <right style="medium">
        <color indexed="64"/>
      </right>
      <top style="thin">
        <color theme="0" tint="-0.14996795556505021"/>
      </top>
      <bottom/>
      <diagonal/>
    </border>
    <border>
      <left style="thin">
        <color theme="0" tint="-0.14996795556505021"/>
      </left>
      <right style="medium">
        <color indexed="64"/>
      </right>
      <top style="thin">
        <color theme="0" tint="-0.14996795556505021"/>
      </top>
      <bottom style="medium">
        <color indexed="64"/>
      </bottom>
      <diagonal/>
    </border>
    <border>
      <left style="thin">
        <color theme="0" tint="-0.14996795556505021"/>
      </left>
      <right style="medium">
        <color indexed="64"/>
      </right>
      <top style="medium">
        <color indexed="64"/>
      </top>
      <bottom style="thin">
        <color theme="0" tint="-0.14996795556505021"/>
      </bottom>
      <diagonal/>
    </border>
    <border>
      <left style="thin">
        <color theme="0" tint="-0.14996795556505021"/>
      </left>
      <right style="medium">
        <color indexed="64"/>
      </right>
      <top/>
      <bottom style="thin">
        <color theme="0" tint="-0.14996795556505021"/>
      </bottom>
      <diagonal/>
    </border>
    <border>
      <left style="thin">
        <color theme="0" tint="-0.14996795556505021"/>
      </left>
      <right style="medium">
        <color indexed="64"/>
      </right>
      <top/>
      <bottom style="medium">
        <color indexed="64"/>
      </bottom>
      <diagonal/>
    </border>
    <border>
      <left style="medium">
        <color theme="0" tint="-4.9989318521683403E-2"/>
      </left>
      <right style="medium">
        <color indexed="64"/>
      </right>
      <top/>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diagonal/>
    </border>
    <border>
      <left style="medium">
        <color indexed="64"/>
      </left>
      <right style="medium">
        <color indexed="64"/>
      </right>
      <top/>
      <bottom style="dashed">
        <color theme="0" tint="-0.14996795556505021"/>
      </bottom>
      <diagonal/>
    </border>
    <border>
      <left style="medium">
        <color indexed="64"/>
      </left>
      <right style="medium">
        <color indexed="64"/>
      </right>
      <top style="dashed">
        <color theme="0" tint="-0.14996795556505021"/>
      </top>
      <bottom/>
      <diagonal/>
    </border>
    <border>
      <left style="thin">
        <color indexed="64"/>
      </left>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43" fontId="6" fillId="0" borderId="0" applyFont="0" applyFill="0" applyBorder="0" applyAlignment="0" applyProtection="0"/>
    <xf numFmtId="0" fontId="6" fillId="0" borderId="0"/>
    <xf numFmtId="0" fontId="7" fillId="0" borderId="0"/>
    <xf numFmtId="0" fontId="8" fillId="0" borderId="0"/>
    <xf numFmtId="9" fontId="8"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cellStyleXfs>
  <cellXfs count="1091">
    <xf numFmtId="0" fontId="0" fillId="0" borderId="0" xfId="0"/>
    <xf numFmtId="0" fontId="4" fillId="0" borderId="0" xfId="0" applyFont="1"/>
    <xf numFmtId="0" fontId="11" fillId="0" borderId="0" xfId="0" applyFont="1"/>
    <xf numFmtId="167" fontId="12" fillId="0" borderId="1" xfId="1" applyNumberFormat="1" applyFont="1" applyFill="1" applyBorder="1" applyAlignment="1">
      <alignment horizontal="center" vertical="center" wrapText="1"/>
    </xf>
    <xf numFmtId="167" fontId="11" fillId="0" borderId="1" xfId="1" applyNumberFormat="1" applyFont="1" applyFill="1" applyBorder="1" applyAlignment="1">
      <alignment horizontal="center" vertical="center" wrapText="1"/>
    </xf>
    <xf numFmtId="43" fontId="11" fillId="0" borderId="1" xfId="0" applyNumberFormat="1" applyFont="1" applyBorder="1" applyAlignment="1">
      <alignment horizontal="center" vertical="center" wrapText="1"/>
    </xf>
    <xf numFmtId="0" fontId="13" fillId="2" borderId="4"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9" xfId="0" applyFont="1" applyFill="1" applyBorder="1" applyAlignment="1">
      <alignment horizontal="left" vertical="center" wrapText="1"/>
    </xf>
    <xf numFmtId="0" fontId="15" fillId="0" borderId="10" xfId="0" applyFont="1" applyBorder="1" applyAlignment="1">
      <alignment horizontal="left" vertical="center"/>
    </xf>
    <xf numFmtId="0" fontId="13" fillId="0" borderId="10" xfId="0" applyFont="1" applyBorder="1" applyAlignment="1">
      <alignment horizontal="center" vertical="center"/>
    </xf>
    <xf numFmtId="0" fontId="15" fillId="0" borderId="10" xfId="0" applyFont="1" applyBorder="1" applyAlignment="1">
      <alignment horizontal="left" vertical="center" wrapText="1"/>
    </xf>
    <xf numFmtId="0" fontId="13"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4" fillId="0" borderId="0" xfId="0" applyFont="1" applyAlignment="1">
      <alignment horizontal="justify" vertical="center"/>
    </xf>
    <xf numFmtId="167" fontId="17" fillId="0" borderId="4" xfId="1" applyNumberFormat="1" applyFont="1" applyFill="1" applyBorder="1" applyAlignment="1">
      <alignment horizontal="center" vertical="center" wrapText="1"/>
    </xf>
    <xf numFmtId="167" fontId="18" fillId="0" borderId="10" xfId="1" applyNumberFormat="1" applyFont="1" applyBorder="1" applyAlignment="1">
      <alignment horizontal="center" vertical="center" wrapText="1"/>
    </xf>
    <xf numFmtId="2" fontId="16" fillId="0" borderId="10" xfId="0" applyNumberFormat="1" applyFont="1" applyBorder="1" applyAlignment="1">
      <alignment horizontal="center" vertical="center" wrapText="1"/>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167" fontId="18" fillId="0" borderId="3" xfId="1"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xf numFmtId="0" fontId="20" fillId="0" borderId="10" xfId="0" applyFont="1" applyBorder="1" applyAlignment="1">
      <alignment vertical="center" wrapText="1"/>
    </xf>
    <xf numFmtId="0" fontId="20" fillId="0" borderId="0" xfId="0" applyFont="1" applyAlignment="1">
      <alignment horizontal="center"/>
    </xf>
    <xf numFmtId="164" fontId="4" fillId="0" borderId="0" xfId="0" applyNumberFormat="1" applyFont="1"/>
    <xf numFmtId="164" fontId="20" fillId="0" borderId="1" xfId="0" applyNumberFormat="1" applyFont="1" applyBorder="1" applyAlignment="1">
      <alignment horizontal="center"/>
    </xf>
    <xf numFmtId="0" fontId="20" fillId="5" borderId="1" xfId="0" applyFont="1" applyFill="1" applyBorder="1" applyAlignment="1">
      <alignment horizontal="center"/>
    </xf>
    <xf numFmtId="43" fontId="20" fillId="5" borderId="1" xfId="1" applyFont="1" applyFill="1" applyBorder="1" applyAlignment="1">
      <alignment horizontal="center"/>
    </xf>
    <xf numFmtId="0" fontId="0" fillId="4" borderId="0" xfId="0" applyFill="1"/>
    <xf numFmtId="164" fontId="0" fillId="0" borderId="0" xfId="0" applyNumberFormat="1"/>
    <xf numFmtId="167" fontId="20" fillId="0" borderId="4" xfId="1" applyNumberFormat="1" applyFont="1" applyBorder="1" applyAlignment="1">
      <alignment horizontal="center"/>
    </xf>
    <xf numFmtId="43" fontId="20" fillId="0" borderId="0" xfId="0" applyNumberFormat="1" applyFont="1" applyAlignment="1">
      <alignment horizontal="center"/>
    </xf>
    <xf numFmtId="43" fontId="20" fillId="0" borderId="22" xfId="1" applyFont="1" applyBorder="1" applyAlignment="1">
      <alignment horizontal="center"/>
    </xf>
    <xf numFmtId="0" fontId="20" fillId="5" borderId="27" xfId="0" applyFont="1" applyFill="1" applyBorder="1" applyAlignment="1">
      <alignment horizontal="center"/>
    </xf>
    <xf numFmtId="0" fontId="20" fillId="0" borderId="27" xfId="0" applyFont="1" applyBorder="1" applyAlignment="1">
      <alignment horizontal="center"/>
    </xf>
    <xf numFmtId="0" fontId="0" fillId="0" borderId="19" xfId="0" applyBorder="1"/>
    <xf numFmtId="0" fontId="0" fillId="0" borderId="20" xfId="0" applyBorder="1"/>
    <xf numFmtId="166" fontId="20" fillId="5" borderId="30" xfId="0" applyNumberFormat="1" applyFont="1" applyFill="1" applyBorder="1" applyAlignment="1">
      <alignment horizontal="center"/>
    </xf>
    <xf numFmtId="166" fontId="20" fillId="0" borderId="30" xfId="0" applyNumberFormat="1" applyFont="1" applyBorder="1" applyAlignment="1">
      <alignment horizontal="center"/>
    </xf>
    <xf numFmtId="0" fontId="32" fillId="0" borderId="0" xfId="0" applyFont="1"/>
    <xf numFmtId="0" fontId="32" fillId="4" borderId="0" xfId="0" applyFont="1" applyFill="1"/>
    <xf numFmtId="0" fontId="3" fillId="4" borderId="32" xfId="0" applyFont="1" applyFill="1" applyBorder="1"/>
    <xf numFmtId="165" fontId="10" fillId="4" borderId="32" xfId="1" applyNumberFormat="1" applyFont="1" applyFill="1" applyBorder="1" applyAlignment="1">
      <alignment horizontal="left" vertical="center" wrapText="1"/>
    </xf>
    <xf numFmtId="0" fontId="3" fillId="4" borderId="0" xfId="0" applyFont="1" applyFill="1"/>
    <xf numFmtId="165" fontId="24" fillId="4" borderId="0" xfId="1" applyNumberFormat="1" applyFont="1" applyFill="1" applyBorder="1" applyAlignment="1">
      <alignment vertical="center" wrapText="1"/>
    </xf>
    <xf numFmtId="165" fontId="9" fillId="4" borderId="0" xfId="1" applyNumberFormat="1" applyFont="1" applyFill="1" applyBorder="1" applyAlignment="1">
      <alignment vertical="center" wrapText="1"/>
    </xf>
    <xf numFmtId="165" fontId="31" fillId="4" borderId="0" xfId="1" applyNumberFormat="1" applyFont="1" applyFill="1" applyBorder="1" applyAlignment="1">
      <alignment vertical="center" wrapText="1"/>
    </xf>
    <xf numFmtId="169" fontId="18" fillId="0" borderId="3" xfId="2" applyNumberFormat="1" applyFont="1" applyBorder="1" applyAlignment="1">
      <alignment horizontal="center" vertical="center" wrapText="1"/>
    </xf>
    <xf numFmtId="43" fontId="18" fillId="0" borderId="3" xfId="1" applyFont="1" applyBorder="1" applyAlignment="1">
      <alignment horizontal="center" vertical="center" wrapText="1"/>
    </xf>
    <xf numFmtId="0" fontId="34" fillId="0" borderId="34" xfId="0" applyFont="1" applyBorder="1" applyAlignment="1">
      <alignment vertical="center"/>
    </xf>
    <xf numFmtId="0" fontId="34" fillId="0" borderId="36" xfId="0" applyFont="1" applyBorder="1" applyAlignment="1">
      <alignment vertical="center"/>
    </xf>
    <xf numFmtId="0" fontId="34" fillId="0" borderId="38"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vertical="center"/>
    </xf>
    <xf numFmtId="10" fontId="32" fillId="0" borderId="39" xfId="0" applyNumberFormat="1" applyFont="1" applyBorder="1" applyAlignment="1">
      <alignment vertical="center"/>
    </xf>
    <xf numFmtId="10" fontId="35" fillId="0" borderId="35" xfId="2" applyNumberFormat="1" applyFont="1" applyBorder="1" applyAlignment="1">
      <alignment vertical="center"/>
    </xf>
    <xf numFmtId="10" fontId="35" fillId="0" borderId="37" xfId="2" applyNumberFormat="1" applyFont="1" applyBorder="1" applyAlignment="1">
      <alignment vertical="center"/>
    </xf>
    <xf numFmtId="0" fontId="34" fillId="0" borderId="1" xfId="0" applyFont="1" applyBorder="1" applyAlignment="1">
      <alignment vertical="center"/>
    </xf>
    <xf numFmtId="10" fontId="37" fillId="0" borderId="1" xfId="2" applyNumberFormat="1" applyFont="1" applyBorder="1"/>
    <xf numFmtId="169" fontId="11" fillId="0" borderId="1" xfId="2" applyNumberFormat="1" applyFont="1" applyFill="1" applyBorder="1" applyAlignment="1">
      <alignment horizontal="center" vertical="center" wrapText="1"/>
    </xf>
    <xf numFmtId="0" fontId="2" fillId="4" borderId="4" xfId="0" applyFont="1" applyFill="1" applyBorder="1"/>
    <xf numFmtId="0" fontId="15" fillId="0" borderId="3" xfId="0" applyFont="1" applyBorder="1" applyAlignment="1">
      <alignment vertical="center" wrapText="1"/>
    </xf>
    <xf numFmtId="167" fontId="20" fillId="0" borderId="1" xfId="1" applyNumberFormat="1" applyFont="1" applyBorder="1" applyAlignment="1">
      <alignment horizontal="center"/>
    </xf>
    <xf numFmtId="167" fontId="20" fillId="5" borderId="1" xfId="1" applyNumberFormat="1" applyFont="1" applyFill="1" applyBorder="1" applyAlignment="1">
      <alignment horizontal="center"/>
    </xf>
    <xf numFmtId="167" fontId="18" fillId="0" borderId="10" xfId="1" applyNumberFormat="1" applyFont="1" applyFill="1" applyBorder="1" applyAlignment="1">
      <alignment horizontal="center" vertical="center" wrapText="1"/>
    </xf>
    <xf numFmtId="166" fontId="20" fillId="0" borderId="31" xfId="0" applyNumberFormat="1" applyFont="1" applyBorder="1" applyAlignment="1">
      <alignment horizontal="center"/>
    </xf>
    <xf numFmtId="164" fontId="20" fillId="0" borderId="28" xfId="0" applyNumberFormat="1" applyFont="1" applyBorder="1" applyAlignment="1">
      <alignment horizontal="center"/>
    </xf>
    <xf numFmtId="167" fontId="20" fillId="0" borderId="28" xfId="1" applyNumberFormat="1" applyFont="1" applyFill="1" applyBorder="1" applyAlignment="1">
      <alignment horizontal="center"/>
    </xf>
    <xf numFmtId="167" fontId="20" fillId="0" borderId="28" xfId="1" applyNumberFormat="1" applyFont="1" applyBorder="1" applyAlignment="1">
      <alignment horizontal="center"/>
    </xf>
    <xf numFmtId="167" fontId="20" fillId="0" borderId="22" xfId="1" applyNumberFormat="1" applyFont="1" applyBorder="1" applyAlignment="1">
      <alignment horizontal="center"/>
    </xf>
    <xf numFmtId="167" fontId="20" fillId="0" borderId="23" xfId="1" applyNumberFormat="1" applyFont="1" applyBorder="1" applyAlignment="1">
      <alignment horizontal="center"/>
    </xf>
    <xf numFmtId="167" fontId="20" fillId="0" borderId="24" xfId="1" applyNumberFormat="1" applyFont="1" applyBorder="1" applyAlignment="1">
      <alignment horizontal="center"/>
    </xf>
    <xf numFmtId="43" fontId="20" fillId="0" borderId="6" xfId="1" applyFont="1" applyBorder="1" applyAlignment="1">
      <alignment horizontal="center"/>
    </xf>
    <xf numFmtId="0" fontId="19"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3" fontId="20" fillId="0" borderId="20" xfId="1" applyFont="1" applyBorder="1" applyAlignment="1">
      <alignment horizontal="center"/>
    </xf>
    <xf numFmtId="167" fontId="20" fillId="0" borderId="19" xfId="1" applyNumberFormat="1" applyFont="1" applyBorder="1" applyAlignment="1">
      <alignment horizontal="center"/>
    </xf>
    <xf numFmtId="0" fontId="20" fillId="0" borderId="46" xfId="0" applyFont="1" applyBorder="1" applyAlignment="1">
      <alignment horizontal="center"/>
    </xf>
    <xf numFmtId="0" fontId="20" fillId="5" borderId="47" xfId="0" applyFont="1" applyFill="1" applyBorder="1" applyAlignment="1">
      <alignment horizontal="center"/>
    </xf>
    <xf numFmtId="0" fontId="20" fillId="0" borderId="30" xfId="0" applyFont="1" applyBorder="1" applyAlignment="1">
      <alignment horizontal="center"/>
    </xf>
    <xf numFmtId="0" fontId="20" fillId="5" borderId="30" xfId="0" applyFont="1" applyFill="1" applyBorder="1" applyAlignment="1">
      <alignment horizontal="center"/>
    </xf>
    <xf numFmtId="0" fontId="20" fillId="5" borderId="31" xfId="0" applyFont="1" applyFill="1" applyBorder="1" applyAlignment="1">
      <alignment horizontal="center"/>
    </xf>
    <xf numFmtId="0" fontId="20" fillId="0" borderId="29" xfId="0" applyFont="1" applyBorder="1" applyAlignment="1">
      <alignment horizontal="center"/>
    </xf>
    <xf numFmtId="0" fontId="40" fillId="0" borderId="0" xfId="0" applyFont="1" applyAlignment="1">
      <alignment horizontal="center" vertical="center"/>
    </xf>
    <xf numFmtId="166" fontId="33" fillId="0" borderId="0" xfId="0" applyNumberFormat="1" applyFont="1" applyAlignment="1">
      <alignment vertical="center"/>
    </xf>
    <xf numFmtId="0" fontId="41" fillId="0" borderId="0" xfId="0" applyFont="1" applyAlignment="1">
      <alignment horizontal="center" vertical="center"/>
    </xf>
    <xf numFmtId="49" fontId="2" fillId="4" borderId="3" xfId="0" applyNumberFormat="1" applyFont="1" applyFill="1" applyBorder="1" applyAlignment="1">
      <alignment horizontal="center"/>
    </xf>
    <xf numFmtId="167" fontId="29" fillId="0" borderId="22" xfId="1" applyNumberFormat="1" applyFont="1" applyBorder="1" applyAlignment="1">
      <alignment horizontal="center"/>
    </xf>
    <xf numFmtId="167" fontId="29" fillId="0" borderId="4" xfId="1" applyNumberFormat="1" applyFont="1" applyBorder="1" applyAlignment="1">
      <alignment horizontal="center"/>
    </xf>
    <xf numFmtId="167" fontId="29" fillId="0" borderId="19" xfId="1" applyNumberFormat="1" applyFont="1" applyBorder="1" applyAlignment="1">
      <alignment horizontal="center"/>
    </xf>
    <xf numFmtId="167" fontId="29" fillId="4" borderId="3" xfId="0" applyNumberFormat="1" applyFont="1" applyFill="1" applyBorder="1" applyAlignment="1">
      <alignment horizontal="center"/>
    </xf>
    <xf numFmtId="167" fontId="11" fillId="0" borderId="22" xfId="1" applyNumberFormat="1" applyFont="1" applyBorder="1" applyAlignment="1">
      <alignment horizontal="center"/>
    </xf>
    <xf numFmtId="167" fontId="11" fillId="0" borderId="20" xfId="1" applyNumberFormat="1" applyFont="1" applyBorder="1" applyAlignment="1">
      <alignment horizontal="center"/>
    </xf>
    <xf numFmtId="0" fontId="42" fillId="0" borderId="49" xfId="0" applyFont="1" applyBorder="1"/>
    <xf numFmtId="0" fontId="42" fillId="0" borderId="50" xfId="0" applyFont="1" applyBorder="1"/>
    <xf numFmtId="0" fontId="42" fillId="0" borderId="51" xfId="0" applyFont="1" applyBorder="1"/>
    <xf numFmtId="0" fontId="28" fillId="0" borderId="0" xfId="0" applyFont="1"/>
    <xf numFmtId="0" fontId="42" fillId="0" borderId="13" xfId="0" applyFont="1" applyBorder="1"/>
    <xf numFmtId="0" fontId="43" fillId="0" borderId="7" xfId="0" applyFont="1" applyBorder="1" applyAlignment="1">
      <alignment vertical="center" wrapText="1"/>
    </xf>
    <xf numFmtId="170" fontId="44" fillId="0" borderId="26" xfId="0" applyNumberFormat="1" applyFont="1" applyBorder="1" applyAlignment="1" applyProtection="1">
      <alignment horizontal="center" vertical="center" wrapText="1"/>
      <protection locked="0"/>
    </xf>
    <xf numFmtId="0" fontId="3" fillId="0" borderId="0" xfId="0" applyFont="1" applyAlignment="1">
      <alignment horizontal="center"/>
    </xf>
    <xf numFmtId="0" fontId="47" fillId="0" borderId="0" xfId="0" applyFont="1" applyAlignment="1">
      <alignment horizontal="center" vertical="center" wrapText="1"/>
    </xf>
    <xf numFmtId="0" fontId="48" fillId="0" borderId="0" xfId="0" applyFont="1"/>
    <xf numFmtId="0" fontId="42" fillId="0" borderId="0" xfId="0" applyFont="1"/>
    <xf numFmtId="0" fontId="42" fillId="0" borderId="105" xfId="0" applyFont="1" applyBorder="1"/>
    <xf numFmtId="0" fontId="42" fillId="0" borderId="106" xfId="0" applyFont="1" applyBorder="1"/>
    <xf numFmtId="0" fontId="20" fillId="0" borderId="114" xfId="0" applyFont="1" applyBorder="1" applyAlignment="1">
      <alignment horizontal="center"/>
    </xf>
    <xf numFmtId="0" fontId="20" fillId="5" borderId="114" xfId="0" applyFont="1" applyFill="1" applyBorder="1" applyAlignment="1">
      <alignment horizontal="center"/>
    </xf>
    <xf numFmtId="0" fontId="20" fillId="5" borderId="115" xfId="0" applyFont="1" applyFill="1" applyBorder="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20" fillId="0" borderId="0" xfId="0" applyFont="1"/>
    <xf numFmtId="0" fontId="53" fillId="0" borderId="0" xfId="0" applyFont="1" applyAlignment="1">
      <alignment horizontal="center"/>
    </xf>
    <xf numFmtId="0" fontId="34" fillId="0" borderId="0" xfId="0" applyFont="1" applyAlignment="1">
      <alignment vertical="center"/>
    </xf>
    <xf numFmtId="43" fontId="0" fillId="0" borderId="0" xfId="0" applyNumberFormat="1"/>
    <xf numFmtId="0" fontId="28" fillId="0" borderId="0" xfId="0" applyFont="1" applyAlignment="1">
      <alignment wrapText="1"/>
    </xf>
    <xf numFmtId="0" fontId="28" fillId="0" borderId="0" xfId="0" applyFont="1" applyAlignment="1">
      <alignment vertical="center" wrapText="1"/>
    </xf>
    <xf numFmtId="0" fontId="55" fillId="0" borderId="121" xfId="0" applyFont="1" applyBorder="1" applyAlignment="1">
      <alignment horizontal="center" vertical="center" wrapText="1"/>
    </xf>
    <xf numFmtId="0" fontId="38" fillId="8" borderId="52" xfId="0" applyFont="1" applyFill="1" applyBorder="1" applyAlignment="1">
      <alignment horizontal="center" vertical="center" wrapText="1"/>
    </xf>
    <xf numFmtId="0" fontId="38" fillId="8" borderId="53" xfId="0" applyFont="1" applyFill="1" applyBorder="1" applyAlignment="1">
      <alignment horizontal="center" vertical="center" wrapText="1"/>
    </xf>
    <xf numFmtId="0" fontId="38" fillId="8" borderId="54"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8" borderId="4" xfId="0" applyFont="1" applyFill="1" applyBorder="1" applyAlignment="1">
      <alignment horizontal="center"/>
    </xf>
    <xf numFmtId="43" fontId="38" fillId="8" borderId="25" xfId="1" applyFont="1" applyFill="1" applyBorder="1" applyProtection="1"/>
    <xf numFmtId="171" fontId="38" fillId="8" borderId="26" xfId="0" applyNumberFormat="1" applyFont="1" applyFill="1" applyBorder="1" applyAlignment="1">
      <alignment horizontal="center" vertical="center" wrapText="1"/>
    </xf>
    <xf numFmtId="171" fontId="38" fillId="8" borderId="55" xfId="0" applyNumberFormat="1" applyFont="1" applyFill="1" applyBorder="1" applyAlignment="1">
      <alignment horizontal="center" vertical="center" wrapText="1"/>
    </xf>
    <xf numFmtId="172" fontId="27" fillId="6" borderId="67" xfId="1" applyNumberFormat="1" applyFont="1" applyFill="1" applyBorder="1" applyAlignment="1" applyProtection="1">
      <alignment horizontal="center" vertical="center" wrapText="1"/>
    </xf>
    <xf numFmtId="172" fontId="56" fillId="6" borderId="59" xfId="1" applyNumberFormat="1" applyFont="1" applyFill="1" applyBorder="1" applyAlignment="1" applyProtection="1">
      <alignment vertical="center"/>
    </xf>
    <xf numFmtId="169" fontId="56" fillId="6" borderId="60" xfId="2" applyNumberFormat="1" applyFont="1" applyFill="1" applyBorder="1" applyAlignment="1" applyProtection="1">
      <alignment vertical="center" wrapText="1"/>
    </xf>
    <xf numFmtId="172" fontId="56" fillId="6" borderId="60" xfId="1" applyNumberFormat="1" applyFont="1" applyFill="1" applyBorder="1" applyAlignment="1" applyProtection="1">
      <alignment vertical="center" wrapText="1"/>
    </xf>
    <xf numFmtId="169" fontId="56" fillId="6" borderId="60" xfId="2" applyNumberFormat="1" applyFont="1" applyFill="1" applyBorder="1" applyAlignment="1" applyProtection="1">
      <alignment horizontal="right" vertical="center" wrapText="1"/>
    </xf>
    <xf numFmtId="172" fontId="56" fillId="6" borderId="64" xfId="1" applyNumberFormat="1" applyFont="1" applyFill="1" applyBorder="1" applyAlignment="1" applyProtection="1">
      <alignment horizontal="center" vertical="center"/>
    </xf>
    <xf numFmtId="169" fontId="56" fillId="6" borderId="67" xfId="2" applyNumberFormat="1" applyFont="1" applyFill="1" applyBorder="1" applyAlignment="1" applyProtection="1">
      <alignment horizontal="right" vertical="center" wrapText="1"/>
    </xf>
    <xf numFmtId="172" fontId="56" fillId="6" borderId="67" xfId="1" applyNumberFormat="1" applyFont="1" applyFill="1" applyBorder="1" applyAlignment="1" applyProtection="1">
      <alignment horizontal="center" vertical="center" wrapText="1"/>
    </xf>
    <xf numFmtId="172" fontId="56" fillId="6" borderId="70" xfId="1" applyNumberFormat="1" applyFont="1" applyFill="1" applyBorder="1" applyAlignment="1" applyProtection="1">
      <alignment horizontal="center" vertical="center"/>
    </xf>
    <xf numFmtId="169" fontId="56" fillId="6" borderId="71" xfId="2" applyNumberFormat="1" applyFont="1" applyFill="1" applyBorder="1" applyAlignment="1" applyProtection="1">
      <alignment horizontal="right" vertical="center" wrapText="1"/>
    </xf>
    <xf numFmtId="172" fontId="56" fillId="6" borderId="71" xfId="1" applyNumberFormat="1" applyFont="1" applyFill="1" applyBorder="1" applyAlignment="1" applyProtection="1">
      <alignment horizontal="center" vertical="center" wrapText="1"/>
    </xf>
    <xf numFmtId="43" fontId="59" fillId="7" borderId="25" xfId="1" applyFont="1" applyFill="1" applyBorder="1" applyProtection="1"/>
    <xf numFmtId="43" fontId="59" fillId="7" borderId="4" xfId="1" applyFont="1" applyFill="1" applyBorder="1" applyProtection="1"/>
    <xf numFmtId="43" fontId="38" fillId="7" borderId="25" xfId="1" applyFont="1" applyFill="1" applyBorder="1" applyProtection="1"/>
    <xf numFmtId="0" fontId="42" fillId="0" borderId="124" xfId="0" applyFont="1" applyBorder="1"/>
    <xf numFmtId="0" fontId="42" fillId="4" borderId="51" xfId="0" applyFont="1" applyFill="1" applyBorder="1"/>
    <xf numFmtId="0" fontId="42" fillId="4" borderId="49" xfId="0" applyFont="1" applyFill="1" applyBorder="1"/>
    <xf numFmtId="0" fontId="42" fillId="4" borderId="0" xfId="0" applyFont="1" applyFill="1"/>
    <xf numFmtId="0" fontId="42" fillId="4" borderId="50" xfId="0" applyFont="1" applyFill="1" applyBorder="1"/>
    <xf numFmtId="0" fontId="3" fillId="8" borderId="4" xfId="0" applyFont="1" applyFill="1" applyBorder="1" applyAlignment="1">
      <alignment horizontal="center" wrapText="1"/>
    </xf>
    <xf numFmtId="0" fontId="39" fillId="3" borderId="128" xfId="0" applyFont="1" applyFill="1" applyBorder="1" applyAlignment="1">
      <alignment horizontal="left" vertical="center" wrapText="1"/>
    </xf>
    <xf numFmtId="0" fontId="45" fillId="3" borderId="129" xfId="0" applyFont="1" applyFill="1" applyBorder="1" applyAlignment="1">
      <alignment horizontal="right" vertical="center" wrapText="1"/>
    </xf>
    <xf numFmtId="0" fontId="26" fillId="3" borderId="129" xfId="0" applyFont="1" applyFill="1" applyBorder="1" applyAlignment="1">
      <alignment horizontal="center" vertical="center" wrapText="1"/>
    </xf>
    <xf numFmtId="0" fontId="26" fillId="3" borderId="129" xfId="0" applyFont="1" applyFill="1" applyBorder="1" applyAlignment="1">
      <alignment horizontal="left" vertical="center" wrapText="1"/>
    </xf>
    <xf numFmtId="0" fontId="27" fillId="3" borderId="130" xfId="0" applyFont="1" applyFill="1" applyBorder="1" applyAlignment="1">
      <alignment horizontal="center" vertical="center" wrapText="1"/>
    </xf>
    <xf numFmtId="0" fontId="39" fillId="3" borderId="131" xfId="0" applyFont="1" applyFill="1" applyBorder="1" applyAlignment="1">
      <alignment horizontal="left" vertical="center" wrapText="1"/>
    </xf>
    <xf numFmtId="0" fontId="45" fillId="3" borderId="132" xfId="0" applyFont="1" applyFill="1" applyBorder="1" applyAlignment="1">
      <alignment horizontal="right" vertical="center" wrapText="1"/>
    </xf>
    <xf numFmtId="0" fontId="26" fillId="3" borderId="132" xfId="0" applyFont="1" applyFill="1" applyBorder="1" applyAlignment="1">
      <alignment horizontal="center" vertical="center" wrapText="1"/>
    </xf>
    <xf numFmtId="0" fontId="26" fillId="3" borderId="132" xfId="0" applyFont="1" applyFill="1" applyBorder="1" applyAlignment="1">
      <alignment horizontal="left" vertical="center" wrapText="1"/>
    </xf>
    <xf numFmtId="0" fontId="27" fillId="3" borderId="133" xfId="0" applyFont="1" applyFill="1" applyBorder="1" applyAlignment="1">
      <alignment horizontal="center" vertical="center" wrapText="1"/>
    </xf>
    <xf numFmtId="0" fontId="39" fillId="3" borderId="134" xfId="0" applyFont="1" applyFill="1" applyBorder="1" applyAlignment="1">
      <alignment horizontal="left" vertical="center" wrapText="1"/>
    </xf>
    <xf numFmtId="0" fontId="45" fillId="3" borderId="135" xfId="0" applyFont="1" applyFill="1" applyBorder="1" applyAlignment="1">
      <alignment horizontal="right" vertical="center" wrapText="1"/>
    </xf>
    <xf numFmtId="0" fontId="26" fillId="3" borderId="135" xfId="0" applyFont="1" applyFill="1" applyBorder="1" applyAlignment="1">
      <alignment horizontal="center" vertical="center" wrapText="1"/>
    </xf>
    <xf numFmtId="0" fontId="26" fillId="3" borderId="135" xfId="0" applyFont="1" applyFill="1" applyBorder="1" applyAlignment="1">
      <alignment horizontal="left" vertical="center" wrapText="1"/>
    </xf>
    <xf numFmtId="0" fontId="27" fillId="3" borderId="136" xfId="0" applyFont="1" applyFill="1" applyBorder="1" applyAlignment="1">
      <alignment horizontal="center" vertical="center" wrapText="1"/>
    </xf>
    <xf numFmtId="172" fontId="56" fillId="6" borderId="64" xfId="1" applyNumberFormat="1" applyFont="1" applyFill="1" applyBorder="1" applyAlignment="1" applyProtection="1">
      <alignment vertical="center"/>
    </xf>
    <xf numFmtId="169" fontId="56" fillId="6" borderId="65" xfId="2" applyNumberFormat="1" applyFont="1" applyFill="1" applyBorder="1" applyAlignment="1" applyProtection="1">
      <alignment horizontal="right" vertical="center" wrapText="1"/>
    </xf>
    <xf numFmtId="172" fontId="56" fillId="6" borderId="65" xfId="1" applyNumberFormat="1" applyFont="1" applyFill="1" applyBorder="1" applyAlignment="1" applyProtection="1">
      <alignment vertical="center" wrapText="1"/>
    </xf>
    <xf numFmtId="169" fontId="56" fillId="6" borderId="65" xfId="2" applyNumberFormat="1" applyFont="1" applyFill="1" applyBorder="1" applyAlignment="1" applyProtection="1">
      <alignment horizontal="right" vertical="center"/>
    </xf>
    <xf numFmtId="172" fontId="56" fillId="6" borderId="65" xfId="1" applyNumberFormat="1" applyFont="1" applyFill="1" applyBorder="1" applyAlignment="1" applyProtection="1">
      <alignment horizontal="center" vertical="center"/>
    </xf>
    <xf numFmtId="172" fontId="56" fillId="6" borderId="65" xfId="1" applyNumberFormat="1" applyFont="1" applyFill="1" applyBorder="1" applyAlignment="1" applyProtection="1">
      <alignment horizontal="center" vertical="center" wrapText="1"/>
    </xf>
    <xf numFmtId="169" fontId="56" fillId="6" borderId="141" xfId="2" applyNumberFormat="1" applyFont="1" applyFill="1" applyBorder="1" applyAlignment="1" applyProtection="1">
      <alignment vertical="center" wrapText="1"/>
    </xf>
    <xf numFmtId="172" fontId="56" fillId="6" borderId="141" xfId="1" applyNumberFormat="1" applyFont="1" applyFill="1" applyBorder="1" applyAlignment="1" applyProtection="1">
      <alignment vertical="center" wrapText="1"/>
    </xf>
    <xf numFmtId="169" fontId="56" fillId="6" borderId="141" xfId="2" applyNumberFormat="1" applyFont="1" applyFill="1" applyBorder="1" applyAlignment="1" applyProtection="1">
      <alignment horizontal="right" vertical="center" wrapText="1"/>
    </xf>
    <xf numFmtId="172" fontId="56" fillId="6" borderId="142" xfId="1" applyNumberFormat="1" applyFont="1" applyFill="1" applyBorder="1" applyAlignment="1" applyProtection="1">
      <alignment vertical="center" wrapText="1"/>
    </xf>
    <xf numFmtId="169" fontId="56" fillId="6" borderId="144" xfId="2" applyNumberFormat="1" applyFont="1" applyFill="1" applyBorder="1" applyAlignment="1" applyProtection="1">
      <alignment horizontal="right" vertical="center" wrapText="1"/>
    </xf>
    <xf numFmtId="172" fontId="56" fillId="6" borderId="144" xfId="1" applyNumberFormat="1" applyFont="1" applyFill="1" applyBorder="1" applyAlignment="1" applyProtection="1">
      <alignment vertical="center" wrapText="1"/>
    </xf>
    <xf numFmtId="172" fontId="56" fillId="6" borderId="145" xfId="1" applyNumberFormat="1" applyFont="1" applyFill="1" applyBorder="1" applyAlignment="1" applyProtection="1">
      <alignment vertical="center" wrapText="1"/>
    </xf>
    <xf numFmtId="172" fontId="56" fillId="6" borderId="144" xfId="1" applyNumberFormat="1" applyFont="1" applyFill="1" applyBorder="1" applyAlignment="1" applyProtection="1">
      <alignment horizontal="center" vertical="center" wrapText="1"/>
    </xf>
    <xf numFmtId="172" fontId="56" fillId="6" borderId="145" xfId="1" applyNumberFormat="1" applyFont="1" applyFill="1" applyBorder="1" applyAlignment="1" applyProtection="1">
      <alignment horizontal="center" vertical="center" wrapText="1"/>
    </xf>
    <xf numFmtId="169" fontId="56" fillId="6" borderId="144" xfId="2" applyNumberFormat="1" applyFont="1" applyFill="1" applyBorder="1" applyAlignment="1" applyProtection="1">
      <alignment horizontal="right" vertical="center"/>
    </xf>
    <xf numFmtId="172" fontId="56" fillId="6" borderId="144" xfId="1" applyNumberFormat="1" applyFont="1" applyFill="1" applyBorder="1" applyAlignment="1" applyProtection="1">
      <alignment horizontal="center" vertical="center"/>
    </xf>
    <xf numFmtId="172" fontId="56" fillId="6" borderId="145" xfId="1" applyNumberFormat="1" applyFont="1" applyFill="1" applyBorder="1" applyAlignment="1" applyProtection="1">
      <alignment horizontal="center" vertical="center"/>
    </xf>
    <xf numFmtId="169" fontId="56" fillId="6" borderId="147" xfId="2" applyNumberFormat="1" applyFont="1" applyFill="1" applyBorder="1" applyAlignment="1" applyProtection="1">
      <alignment horizontal="right" vertical="center" wrapText="1"/>
    </xf>
    <xf numFmtId="172" fontId="56" fillId="6" borderId="147" xfId="1" applyNumberFormat="1" applyFont="1" applyFill="1" applyBorder="1" applyAlignment="1" applyProtection="1">
      <alignment horizontal="center" vertical="center" wrapText="1"/>
    </xf>
    <xf numFmtId="172" fontId="56" fillId="6" borderId="148" xfId="1" applyNumberFormat="1" applyFont="1" applyFill="1" applyBorder="1" applyAlignment="1" applyProtection="1">
      <alignment horizontal="center" vertical="center" wrapText="1"/>
    </xf>
    <xf numFmtId="172" fontId="56" fillId="7" borderId="59" xfId="1" applyNumberFormat="1" applyFont="1" applyFill="1" applyBorder="1" applyAlignment="1" applyProtection="1">
      <alignment vertical="center"/>
    </xf>
    <xf numFmtId="169" fontId="56" fillId="7" borderId="60" xfId="2" applyNumberFormat="1" applyFont="1" applyFill="1" applyBorder="1" applyAlignment="1" applyProtection="1">
      <alignment vertical="center" wrapText="1"/>
    </xf>
    <xf numFmtId="172" fontId="56" fillId="7" borderId="60" xfId="1" applyNumberFormat="1" applyFont="1" applyFill="1" applyBorder="1" applyAlignment="1" applyProtection="1">
      <alignment vertical="center" wrapText="1"/>
    </xf>
    <xf numFmtId="169" fontId="56" fillId="7" borderId="60" xfId="2" applyNumberFormat="1" applyFont="1" applyFill="1" applyBorder="1" applyAlignment="1" applyProtection="1">
      <alignment horizontal="right" vertical="center" wrapText="1"/>
    </xf>
    <xf numFmtId="172" fontId="56" fillId="7" borderId="64" xfId="1" applyNumberFormat="1" applyFont="1" applyFill="1" applyBorder="1" applyAlignment="1" applyProtection="1">
      <alignment vertical="center"/>
    </xf>
    <xf numFmtId="169" fontId="56" fillId="7" borderId="65" xfId="2" applyNumberFormat="1" applyFont="1" applyFill="1" applyBorder="1" applyAlignment="1" applyProtection="1">
      <alignment horizontal="right" vertical="center" wrapText="1"/>
    </xf>
    <xf numFmtId="172" fontId="56" fillId="7" borderId="65" xfId="1" applyNumberFormat="1" applyFont="1" applyFill="1" applyBorder="1" applyAlignment="1" applyProtection="1">
      <alignment vertical="center" wrapText="1"/>
    </xf>
    <xf numFmtId="172" fontId="56" fillId="7" borderId="64" xfId="1" applyNumberFormat="1" applyFont="1" applyFill="1" applyBorder="1" applyAlignment="1" applyProtection="1">
      <alignment horizontal="center" vertical="center"/>
    </xf>
    <xf numFmtId="169" fontId="56" fillId="7" borderId="67" xfId="2" applyNumberFormat="1" applyFont="1" applyFill="1" applyBorder="1" applyAlignment="1" applyProtection="1">
      <alignment horizontal="right" vertical="center" wrapText="1"/>
    </xf>
    <xf numFmtId="172" fontId="56" fillId="7" borderId="67" xfId="1" applyNumberFormat="1" applyFont="1" applyFill="1" applyBorder="1" applyAlignment="1" applyProtection="1">
      <alignment horizontal="center" vertical="center" wrapText="1"/>
    </xf>
    <xf numFmtId="169" fontId="56" fillId="7" borderId="65" xfId="2" applyNumberFormat="1" applyFont="1" applyFill="1" applyBorder="1" applyAlignment="1" applyProtection="1">
      <alignment horizontal="right" vertical="center"/>
    </xf>
    <xf numFmtId="172" fontId="56" fillId="7" borderId="65" xfId="1" applyNumberFormat="1" applyFont="1" applyFill="1" applyBorder="1" applyAlignment="1" applyProtection="1">
      <alignment horizontal="center" vertical="center"/>
    </xf>
    <xf numFmtId="172" fontId="56" fillId="7" borderId="65" xfId="1" applyNumberFormat="1" applyFont="1" applyFill="1" applyBorder="1" applyAlignment="1" applyProtection="1">
      <alignment horizontal="center" vertical="center" wrapText="1"/>
    </xf>
    <xf numFmtId="172" fontId="56" fillId="7" borderId="70" xfId="1" applyNumberFormat="1" applyFont="1" applyFill="1" applyBorder="1" applyAlignment="1" applyProtection="1">
      <alignment horizontal="center" vertical="center"/>
    </xf>
    <xf numFmtId="169" fontId="56" fillId="7" borderId="71" xfId="2" applyNumberFormat="1" applyFont="1" applyFill="1" applyBorder="1" applyAlignment="1" applyProtection="1">
      <alignment horizontal="right" vertical="center" wrapText="1"/>
    </xf>
    <xf numFmtId="172" fontId="56" fillId="7" borderId="71" xfId="1" applyNumberFormat="1" applyFont="1" applyFill="1" applyBorder="1" applyAlignment="1" applyProtection="1">
      <alignment horizontal="center" vertical="center" wrapText="1"/>
    </xf>
    <xf numFmtId="43" fontId="59" fillId="6" borderId="25" xfId="1" applyFont="1" applyFill="1" applyBorder="1" applyProtection="1"/>
    <xf numFmtId="43" fontId="59" fillId="6" borderId="4" xfId="1" applyFont="1" applyFill="1" applyBorder="1" applyProtection="1"/>
    <xf numFmtId="0" fontId="39" fillId="3" borderId="140" xfId="0" applyFont="1" applyFill="1" applyBorder="1" applyAlignment="1">
      <alignment horizontal="left" vertical="center" wrapText="1"/>
    </xf>
    <xf numFmtId="0" fontId="26" fillId="3" borderId="141" xfId="0" applyFont="1" applyFill="1" applyBorder="1" applyAlignment="1">
      <alignment horizontal="left" vertical="center" wrapText="1"/>
    </xf>
    <xf numFmtId="0" fontId="27" fillId="3" borderId="142" xfId="0" applyFont="1" applyFill="1" applyBorder="1" applyAlignment="1">
      <alignment horizontal="center" vertical="center" wrapText="1"/>
    </xf>
    <xf numFmtId="0" fontId="39" fillId="3" borderId="143" xfId="0" applyFont="1" applyFill="1" applyBorder="1" applyAlignment="1">
      <alignment horizontal="left" vertical="center" wrapText="1"/>
    </xf>
    <xf numFmtId="0" fontId="27" fillId="3" borderId="145" xfId="0" applyFont="1" applyFill="1" applyBorder="1" applyAlignment="1">
      <alignment horizontal="center" vertical="center" wrapText="1"/>
    </xf>
    <xf numFmtId="0" fontId="39" fillId="3" borderId="146" xfId="0" applyFont="1" applyFill="1" applyBorder="1" applyAlignment="1">
      <alignment horizontal="left" vertical="center" wrapText="1"/>
    </xf>
    <xf numFmtId="0" fontId="45" fillId="3" borderId="147" xfId="0" applyFont="1" applyFill="1" applyBorder="1" applyAlignment="1">
      <alignment horizontal="right" vertical="center" wrapText="1"/>
    </xf>
    <xf numFmtId="0" fontId="26" fillId="3" borderId="147" xfId="0" applyFont="1" applyFill="1" applyBorder="1" applyAlignment="1">
      <alignment horizontal="left" vertical="center" wrapText="1"/>
    </xf>
    <xf numFmtId="0" fontId="27" fillId="3" borderId="148" xfId="0" applyFont="1" applyFill="1" applyBorder="1" applyAlignment="1">
      <alignment horizontal="center" vertical="center" wrapText="1"/>
    </xf>
    <xf numFmtId="169" fontId="56" fillId="6" borderId="82" xfId="2" applyNumberFormat="1" applyFont="1" applyFill="1" applyBorder="1" applyAlignment="1" applyProtection="1">
      <alignment horizontal="right" vertical="center" wrapText="1"/>
    </xf>
    <xf numFmtId="169" fontId="56" fillId="6" borderId="144" xfId="2" applyNumberFormat="1" applyFont="1" applyFill="1" applyBorder="1" applyAlignment="1" applyProtection="1">
      <alignment vertical="center" wrapText="1"/>
    </xf>
    <xf numFmtId="169" fontId="56" fillId="6" borderId="152" xfId="2" applyNumberFormat="1" applyFont="1" applyFill="1" applyBorder="1" applyAlignment="1" applyProtection="1">
      <alignment vertical="center" wrapText="1"/>
    </xf>
    <xf numFmtId="172" fontId="56" fillId="6" borderId="153" xfId="1" applyNumberFormat="1" applyFont="1" applyFill="1" applyBorder="1" applyAlignment="1" applyProtection="1">
      <alignment horizontal="center" vertical="center" wrapText="1"/>
    </xf>
    <xf numFmtId="169" fontId="56" fillId="6" borderId="152" xfId="2" applyNumberFormat="1" applyFont="1" applyFill="1" applyBorder="1" applyAlignment="1" applyProtection="1">
      <alignment horizontal="right" vertical="center" wrapText="1"/>
    </xf>
    <xf numFmtId="172" fontId="56" fillId="6" borderId="154" xfId="1" applyNumberFormat="1" applyFont="1" applyFill="1" applyBorder="1" applyAlignment="1" applyProtection="1">
      <alignment horizontal="center" vertical="center" wrapText="1"/>
    </xf>
    <xf numFmtId="169" fontId="27" fillId="6" borderId="155" xfId="2" applyNumberFormat="1" applyFont="1" applyFill="1" applyBorder="1" applyAlignment="1" applyProtection="1">
      <alignment horizontal="right" vertical="center" wrapText="1"/>
    </xf>
    <xf numFmtId="172" fontId="27" fillId="6" borderId="155" xfId="1" applyNumberFormat="1" applyFont="1" applyFill="1" applyBorder="1" applyAlignment="1" applyProtection="1">
      <alignment horizontal="center" vertical="center" wrapText="1"/>
    </xf>
    <xf numFmtId="169" fontId="27" fillId="6" borderId="0" xfId="2" applyNumberFormat="1" applyFont="1" applyFill="1" applyBorder="1" applyAlignment="1" applyProtection="1">
      <alignment horizontal="right" vertical="center" wrapText="1"/>
    </xf>
    <xf numFmtId="172" fontId="27" fillId="6" borderId="0" xfId="1" applyNumberFormat="1" applyFont="1" applyFill="1" applyBorder="1" applyAlignment="1" applyProtection="1">
      <alignment horizontal="center" vertical="center" wrapText="1"/>
    </xf>
    <xf numFmtId="172" fontId="27" fillId="6" borderId="76" xfId="1" applyNumberFormat="1" applyFont="1" applyFill="1" applyBorder="1" applyAlignment="1" applyProtection="1">
      <alignment horizontal="center" vertical="center" wrapText="1"/>
    </xf>
    <xf numFmtId="172" fontId="27" fillId="6" borderId="0" xfId="1" applyNumberFormat="1" applyFont="1" applyFill="1" applyBorder="1" applyAlignment="1" applyProtection="1">
      <alignment vertical="center" wrapText="1"/>
    </xf>
    <xf numFmtId="172" fontId="27" fillId="6" borderId="76" xfId="1" applyNumberFormat="1" applyFont="1" applyFill="1" applyBorder="1" applyAlignment="1" applyProtection="1">
      <alignment vertical="center" wrapText="1"/>
    </xf>
    <xf numFmtId="169" fontId="26" fillId="6" borderId="0" xfId="2" applyNumberFormat="1" applyFont="1" applyFill="1" applyBorder="1" applyAlignment="1" applyProtection="1">
      <alignment horizontal="right" vertical="center"/>
    </xf>
    <xf numFmtId="172" fontId="26" fillId="6" borderId="0" xfId="1" applyNumberFormat="1" applyFont="1" applyFill="1" applyBorder="1" applyAlignment="1" applyProtection="1">
      <alignment horizontal="center" vertical="center"/>
    </xf>
    <xf numFmtId="172" fontId="26" fillId="6" borderId="76" xfId="1" applyNumberFormat="1" applyFont="1" applyFill="1" applyBorder="1" applyAlignment="1" applyProtection="1">
      <alignment horizontal="center" vertical="center"/>
    </xf>
    <xf numFmtId="169" fontId="27" fillId="6" borderId="19" xfId="2" applyNumberFormat="1" applyFont="1" applyFill="1" applyBorder="1" applyAlignment="1" applyProtection="1">
      <alignment horizontal="right" vertical="center" wrapText="1"/>
    </xf>
    <xf numFmtId="172" fontId="27" fillId="6" borderId="19" xfId="1" applyNumberFormat="1" applyFont="1" applyFill="1" applyBorder="1" applyAlignment="1" applyProtection="1">
      <alignment horizontal="center" vertical="center" wrapText="1"/>
    </xf>
    <xf numFmtId="172" fontId="27" fillId="6" borderId="10" xfId="1" applyNumberFormat="1" applyFont="1" applyFill="1" applyBorder="1" applyAlignment="1" applyProtection="1">
      <alignment horizontal="center" vertical="center" wrapText="1"/>
    </xf>
    <xf numFmtId="169" fontId="27" fillId="6" borderId="20" xfId="2" applyNumberFormat="1" applyFont="1" applyFill="1" applyBorder="1" applyAlignment="1" applyProtection="1">
      <alignment vertical="center" wrapText="1"/>
    </xf>
    <xf numFmtId="172" fontId="27" fillId="6" borderId="20" xfId="1" applyNumberFormat="1" applyFont="1" applyFill="1" applyBorder="1" applyAlignment="1" applyProtection="1">
      <alignment vertical="center" wrapText="1"/>
    </xf>
    <xf numFmtId="169" fontId="27" fillId="6" borderId="20" xfId="2" applyNumberFormat="1" applyFont="1" applyFill="1" applyBorder="1" applyAlignment="1" applyProtection="1">
      <alignment horizontal="right" vertical="center" wrapText="1"/>
    </xf>
    <xf numFmtId="172" fontId="27" fillId="6" borderId="87" xfId="1" applyNumberFormat="1" applyFont="1" applyFill="1" applyBorder="1" applyAlignment="1" applyProtection="1">
      <alignment vertical="center" wrapText="1"/>
    </xf>
    <xf numFmtId="169" fontId="27" fillId="6" borderId="110" xfId="2" applyNumberFormat="1" applyFont="1" applyFill="1" applyBorder="1" applyAlignment="1" applyProtection="1">
      <alignment vertical="center" wrapText="1"/>
    </xf>
    <xf numFmtId="172" fontId="27" fillId="6" borderId="110" xfId="1" applyNumberFormat="1" applyFont="1" applyFill="1" applyBorder="1" applyAlignment="1" applyProtection="1">
      <alignment vertical="center" wrapText="1"/>
    </xf>
    <xf numFmtId="169" fontId="27" fillId="6" borderId="110" xfId="2" applyNumberFormat="1" applyFont="1" applyFill="1" applyBorder="1" applyAlignment="1" applyProtection="1">
      <alignment horizontal="right" vertical="center" wrapText="1"/>
    </xf>
    <xf numFmtId="172" fontId="27" fillId="6" borderId="82" xfId="1" applyNumberFormat="1" applyFont="1" applyFill="1" applyBorder="1" applyAlignment="1" applyProtection="1">
      <alignment vertical="center" wrapText="1"/>
    </xf>
    <xf numFmtId="169" fontId="56" fillId="6" borderId="156" xfId="2" applyNumberFormat="1" applyFont="1" applyFill="1" applyBorder="1" applyAlignment="1" applyProtection="1">
      <alignment vertical="center" wrapText="1"/>
    </xf>
    <xf numFmtId="172" fontId="56" fillId="6" borderId="157" xfId="1" applyNumberFormat="1" applyFont="1" applyFill="1" applyBorder="1" applyAlignment="1" applyProtection="1">
      <alignment horizontal="center" vertical="center" wrapText="1"/>
    </xf>
    <xf numFmtId="169" fontId="56" fillId="6" borderId="157" xfId="2" applyNumberFormat="1" applyFont="1" applyFill="1" applyBorder="1" applyAlignment="1" applyProtection="1">
      <alignment horizontal="right" vertical="center" wrapText="1"/>
    </xf>
    <xf numFmtId="172" fontId="56" fillId="6" borderId="158" xfId="1" applyNumberFormat="1" applyFont="1" applyFill="1" applyBorder="1" applyAlignment="1" applyProtection="1">
      <alignment horizontal="center" vertical="center" wrapText="1"/>
    </xf>
    <xf numFmtId="0" fontId="26" fillId="3" borderId="159" xfId="0" applyFont="1" applyFill="1" applyBorder="1" applyAlignment="1">
      <alignment horizontal="center" vertical="center" wrapText="1"/>
    </xf>
    <xf numFmtId="0" fontId="26" fillId="3" borderId="160" xfId="0" applyFont="1" applyFill="1" applyBorder="1" applyAlignment="1">
      <alignment horizontal="center" vertical="center" wrapText="1"/>
    </xf>
    <xf numFmtId="0" fontId="26" fillId="3" borderId="160" xfId="0" applyFont="1" applyFill="1" applyBorder="1" applyAlignment="1">
      <alignment vertical="center" wrapText="1"/>
    </xf>
    <xf numFmtId="0" fontId="26" fillId="3" borderId="161" xfId="0" applyFont="1" applyFill="1" applyBorder="1" applyAlignment="1">
      <alignment horizontal="center" vertical="center" wrapText="1"/>
    </xf>
    <xf numFmtId="172" fontId="56" fillId="6" borderId="84" xfId="1" applyNumberFormat="1" applyFont="1" applyFill="1" applyBorder="1" applyAlignment="1" applyProtection="1">
      <alignment horizontal="center" vertical="center"/>
    </xf>
    <xf numFmtId="172" fontId="56" fillId="6" borderId="59" xfId="1" applyNumberFormat="1" applyFont="1" applyFill="1" applyBorder="1" applyAlignment="1" applyProtection="1">
      <alignment horizontal="center" vertical="center"/>
    </xf>
    <xf numFmtId="169" fontId="56" fillId="6" borderId="87" xfId="2" applyNumberFormat="1" applyFont="1" applyFill="1" applyBorder="1" applyAlignment="1" applyProtection="1">
      <alignment horizontal="right" vertical="center" wrapText="1"/>
    </xf>
    <xf numFmtId="172" fontId="56" fillId="6" borderId="87" xfId="1" applyNumberFormat="1" applyFont="1" applyFill="1" applyBorder="1" applyAlignment="1" applyProtection="1">
      <alignment horizontal="center" vertical="center" wrapText="1"/>
    </xf>
    <xf numFmtId="172" fontId="56" fillId="6" borderId="70" xfId="1" applyNumberFormat="1" applyFont="1" applyFill="1" applyBorder="1" applyAlignment="1" applyProtection="1">
      <alignment vertical="center"/>
    </xf>
    <xf numFmtId="172" fontId="56" fillId="6" borderId="71" xfId="1" applyNumberFormat="1" applyFont="1" applyFill="1" applyBorder="1" applyAlignment="1" applyProtection="1">
      <alignment vertical="center" wrapText="1"/>
    </xf>
    <xf numFmtId="172" fontId="56" fillId="6" borderId="86" xfId="1" applyNumberFormat="1" applyFont="1" applyFill="1" applyBorder="1" applyAlignment="1" applyProtection="1">
      <alignment vertical="center"/>
    </xf>
    <xf numFmtId="172" fontId="56" fillId="6" borderId="82" xfId="1" applyNumberFormat="1" applyFont="1" applyFill="1" applyBorder="1" applyAlignment="1" applyProtection="1">
      <alignment vertical="center" wrapText="1"/>
    </xf>
    <xf numFmtId="0" fontId="26" fillId="3" borderId="159" xfId="0" applyFont="1" applyFill="1" applyBorder="1" applyAlignment="1">
      <alignment vertical="center" wrapText="1"/>
    </xf>
    <xf numFmtId="0" fontId="26" fillId="3" borderId="161" xfId="0" applyFont="1" applyFill="1" applyBorder="1" applyAlignment="1">
      <alignment vertical="center" wrapText="1"/>
    </xf>
    <xf numFmtId="0" fontId="39" fillId="3" borderId="162" xfId="0" applyFont="1" applyFill="1" applyBorder="1" applyAlignment="1">
      <alignment horizontal="left" vertical="center" wrapText="1"/>
    </xf>
    <xf numFmtId="0" fontId="45" fillId="3" borderId="163" xfId="0" applyFont="1" applyFill="1" applyBorder="1" applyAlignment="1">
      <alignment horizontal="left" vertical="center" wrapText="1"/>
    </xf>
    <xf numFmtId="0" fontId="45" fillId="3" borderId="163" xfId="0" applyFont="1" applyFill="1" applyBorder="1" applyAlignment="1">
      <alignment horizontal="right" vertical="center" wrapText="1"/>
    </xf>
    <xf numFmtId="0" fontId="26" fillId="3" borderId="163" xfId="0" applyFont="1" applyFill="1" applyBorder="1" applyAlignment="1">
      <alignment horizontal="left" vertical="center" wrapText="1"/>
    </xf>
    <xf numFmtId="43" fontId="26" fillId="3" borderId="163" xfId="1" applyFont="1" applyFill="1" applyBorder="1" applyAlignment="1" applyProtection="1">
      <alignment horizontal="center" vertical="center" wrapText="1"/>
    </xf>
    <xf numFmtId="0" fontId="26" fillId="3" borderId="164" xfId="0" applyFont="1" applyFill="1" applyBorder="1" applyAlignment="1">
      <alignment horizontal="center" vertical="center" wrapText="1"/>
    </xf>
    <xf numFmtId="0" fontId="3" fillId="8" borderId="4" xfId="0" applyFont="1" applyFill="1" applyBorder="1" applyAlignment="1">
      <alignment horizontal="center" vertical="center"/>
    </xf>
    <xf numFmtId="0" fontId="28" fillId="0" borderId="0" xfId="0" applyFont="1" applyAlignment="1">
      <alignment vertical="center"/>
    </xf>
    <xf numFmtId="172" fontId="56" fillId="6" borderId="86" xfId="1" applyNumberFormat="1" applyFont="1" applyFill="1" applyBorder="1" applyAlignment="1" applyProtection="1">
      <alignment horizontal="center" vertical="center"/>
    </xf>
    <xf numFmtId="169" fontId="56" fillId="6" borderId="76" xfId="2" applyNumberFormat="1" applyFont="1" applyFill="1" applyBorder="1" applyAlignment="1" applyProtection="1">
      <alignment horizontal="right" vertical="center" wrapText="1"/>
    </xf>
    <xf numFmtId="172" fontId="56" fillId="6" borderId="76" xfId="1" applyNumberFormat="1" applyFont="1" applyFill="1" applyBorder="1" applyAlignment="1" applyProtection="1">
      <alignment horizontal="center" vertical="center" wrapText="1"/>
    </xf>
    <xf numFmtId="169" fontId="56" fillId="6" borderId="67" xfId="2" applyNumberFormat="1" applyFont="1" applyFill="1" applyBorder="1" applyAlignment="1" applyProtection="1">
      <alignment horizontal="right" vertical="center"/>
    </xf>
    <xf numFmtId="172" fontId="56" fillId="6" borderId="67" xfId="1" applyNumberFormat="1" applyFont="1" applyFill="1" applyBorder="1" applyAlignment="1" applyProtection="1">
      <alignment horizontal="center" vertical="center"/>
    </xf>
    <xf numFmtId="172" fontId="56" fillId="6" borderId="60" xfId="1" applyNumberFormat="1" applyFont="1" applyFill="1" applyBorder="1" applyAlignment="1" applyProtection="1">
      <alignment horizontal="center" vertical="center" wrapText="1"/>
    </xf>
    <xf numFmtId="172" fontId="56" fillId="6" borderId="84" xfId="1" applyNumberFormat="1" applyFont="1" applyFill="1" applyBorder="1" applyAlignment="1" applyProtection="1">
      <alignment vertical="center"/>
    </xf>
    <xf numFmtId="172" fontId="56" fillId="6" borderId="67" xfId="1" applyNumberFormat="1" applyFont="1" applyFill="1" applyBorder="1" applyAlignment="1" applyProtection="1">
      <alignment vertical="center" wrapText="1"/>
    </xf>
    <xf numFmtId="169" fontId="56" fillId="6" borderId="71" xfId="2" applyNumberFormat="1" applyFont="1" applyFill="1" applyBorder="1" applyAlignment="1" applyProtection="1">
      <alignment horizontal="right" vertical="center"/>
    </xf>
    <xf numFmtId="172" fontId="56" fillId="6" borderId="71" xfId="1" applyNumberFormat="1" applyFont="1" applyFill="1" applyBorder="1" applyAlignment="1" applyProtection="1">
      <alignment horizontal="center" vertical="center"/>
    </xf>
    <xf numFmtId="172" fontId="56" fillId="6" borderId="82" xfId="1" applyNumberFormat="1" applyFont="1" applyFill="1" applyBorder="1" applyAlignment="1" applyProtection="1">
      <alignment horizontal="center" vertical="center" wrapText="1"/>
    </xf>
    <xf numFmtId="172" fontId="56" fillId="6" borderId="91" xfId="1" applyNumberFormat="1" applyFont="1" applyFill="1" applyBorder="1" applyAlignment="1" applyProtection="1">
      <alignment horizontal="center" vertical="center"/>
    </xf>
    <xf numFmtId="169" fontId="56" fillId="6" borderId="9" xfId="2" applyNumberFormat="1" applyFont="1" applyFill="1" applyBorder="1" applyAlignment="1" applyProtection="1">
      <alignment horizontal="right" vertical="center" wrapText="1"/>
    </xf>
    <xf numFmtId="172" fontId="56" fillId="6" borderId="9" xfId="1" applyNumberFormat="1" applyFont="1" applyFill="1" applyBorder="1" applyAlignment="1" applyProtection="1">
      <alignment horizontal="center" vertical="center" wrapText="1"/>
    </xf>
    <xf numFmtId="43" fontId="26" fillId="3" borderId="166" xfId="1" applyFont="1" applyFill="1" applyBorder="1" applyAlignment="1" applyProtection="1">
      <alignment horizontal="center" vertical="center" wrapText="1"/>
    </xf>
    <xf numFmtId="0" fontId="26" fillId="3" borderId="167" xfId="0" applyFont="1" applyFill="1" applyBorder="1" applyAlignment="1">
      <alignment horizontal="center" vertical="center" wrapText="1"/>
    </xf>
    <xf numFmtId="43" fontId="26" fillId="3" borderId="169" xfId="1" applyFont="1" applyFill="1" applyBorder="1" applyAlignment="1" applyProtection="1">
      <alignment horizontal="center" vertical="center" wrapText="1"/>
    </xf>
    <xf numFmtId="0" fontId="26" fillId="3" borderId="170" xfId="0" applyFont="1" applyFill="1" applyBorder="1" applyAlignment="1">
      <alignment horizontal="center" vertical="center" wrapText="1"/>
    </xf>
    <xf numFmtId="43" fontId="26" fillId="3" borderId="172" xfId="1" applyFont="1" applyFill="1" applyBorder="1" applyAlignment="1" applyProtection="1">
      <alignment horizontal="center" vertical="center" wrapText="1"/>
    </xf>
    <xf numFmtId="0" fontId="26" fillId="3" borderId="173" xfId="0" applyFont="1" applyFill="1" applyBorder="1" applyAlignment="1">
      <alignment horizontal="center" vertical="center" wrapText="1"/>
    </xf>
    <xf numFmtId="0" fontId="26" fillId="3" borderId="172" xfId="0" applyFont="1" applyFill="1" applyBorder="1" applyAlignment="1">
      <alignment vertical="center" wrapText="1"/>
    </xf>
    <xf numFmtId="0" fontId="26" fillId="3" borderId="173" xfId="0" applyFont="1" applyFill="1" applyBorder="1" applyAlignment="1">
      <alignment horizontal="center" vertical="center"/>
    </xf>
    <xf numFmtId="43" fontId="26" fillId="3" borderId="179" xfId="1" applyFont="1" applyFill="1" applyBorder="1" applyAlignment="1" applyProtection="1">
      <alignment horizontal="center" vertical="center" wrapText="1"/>
    </xf>
    <xf numFmtId="0" fontId="26" fillId="3" borderId="180" xfId="0" applyFont="1" applyFill="1" applyBorder="1" applyAlignment="1">
      <alignment horizontal="center" vertical="center" wrapText="1"/>
    </xf>
    <xf numFmtId="172" fontId="56" fillId="6" borderId="96" xfId="1" applyNumberFormat="1" applyFont="1" applyFill="1" applyBorder="1" applyAlignment="1" applyProtection="1">
      <alignment horizontal="center" vertical="center"/>
    </xf>
    <xf numFmtId="172" fontId="56" fillId="6" borderId="95" xfId="1" applyNumberFormat="1" applyFont="1" applyFill="1" applyBorder="1" applyAlignment="1" applyProtection="1">
      <alignment horizontal="center" vertical="center"/>
    </xf>
    <xf numFmtId="172" fontId="56" fillId="6" borderId="91" xfId="1" applyNumberFormat="1" applyFont="1" applyFill="1" applyBorder="1" applyAlignment="1" applyProtection="1">
      <alignment vertical="center"/>
    </xf>
    <xf numFmtId="172" fontId="56" fillId="6" borderId="9" xfId="1" applyNumberFormat="1" applyFont="1" applyFill="1" applyBorder="1" applyAlignment="1" applyProtection="1">
      <alignment vertical="center" wrapText="1"/>
    </xf>
    <xf numFmtId="172" fontId="56" fillId="6" borderId="95" xfId="1" applyNumberFormat="1" applyFont="1" applyFill="1" applyBorder="1" applyAlignment="1" applyProtection="1">
      <alignment vertical="center"/>
    </xf>
    <xf numFmtId="172" fontId="56" fillId="6" borderId="76" xfId="1" applyNumberFormat="1" applyFont="1" applyFill="1" applyBorder="1" applyAlignment="1" applyProtection="1">
      <alignment vertical="center" wrapText="1"/>
    </xf>
    <xf numFmtId="172" fontId="56" fillId="6" borderId="90" xfId="1" applyNumberFormat="1" applyFont="1" applyFill="1" applyBorder="1" applyAlignment="1" applyProtection="1">
      <alignment horizontal="center" vertical="center"/>
    </xf>
    <xf numFmtId="169" fontId="56" fillId="6" borderId="10" xfId="2" applyNumberFormat="1" applyFont="1" applyFill="1" applyBorder="1" applyAlignment="1" applyProtection="1">
      <alignment horizontal="right" vertical="center" wrapText="1"/>
    </xf>
    <xf numFmtId="172" fontId="56" fillId="6" borderId="10" xfId="1" applyNumberFormat="1" applyFont="1" applyFill="1" applyBorder="1" applyAlignment="1" applyProtection="1">
      <alignment horizontal="center" vertical="center" wrapText="1"/>
    </xf>
    <xf numFmtId="0" fontId="27" fillId="3" borderId="169" xfId="0" applyFont="1" applyFill="1" applyBorder="1" applyAlignment="1">
      <alignment horizontal="left" vertical="center" wrapText="1"/>
    </xf>
    <xf numFmtId="0" fontId="27" fillId="3" borderId="170" xfId="0" applyFont="1" applyFill="1" applyBorder="1" applyAlignment="1">
      <alignment horizontal="center" vertical="center" wrapText="1"/>
    </xf>
    <xf numFmtId="0" fontId="27" fillId="3" borderId="172" xfId="0" applyFont="1" applyFill="1" applyBorder="1" applyAlignment="1">
      <alignment vertical="center" wrapText="1"/>
    </xf>
    <xf numFmtId="0" fontId="27" fillId="3" borderId="173" xfId="0" applyFont="1" applyFill="1" applyBorder="1" applyAlignment="1">
      <alignment horizontal="center" vertical="center" wrapText="1"/>
    </xf>
    <xf numFmtId="0" fontId="27" fillId="3" borderId="166" xfId="0" applyFont="1" applyFill="1" applyBorder="1" applyAlignment="1">
      <alignment vertical="center" wrapText="1"/>
    </xf>
    <xf numFmtId="0" fontId="27" fillId="3" borderId="167" xfId="0" applyFont="1" applyFill="1" applyBorder="1" applyAlignment="1">
      <alignment horizontal="center" vertical="center" wrapText="1"/>
    </xf>
    <xf numFmtId="0" fontId="27" fillId="3" borderId="172" xfId="0" applyFont="1" applyFill="1" applyBorder="1" applyAlignment="1">
      <alignment horizontal="left" vertical="center" wrapText="1"/>
    </xf>
    <xf numFmtId="0" fontId="44" fillId="3" borderId="165" xfId="0" applyFont="1" applyFill="1" applyBorder="1" applyAlignment="1">
      <alignment horizontal="left" vertical="center"/>
    </xf>
    <xf numFmtId="0" fontId="44" fillId="3" borderId="168" xfId="0" applyFont="1" applyFill="1" applyBorder="1" applyAlignment="1">
      <alignment horizontal="left" vertical="center"/>
    </xf>
    <xf numFmtId="0" fontId="27" fillId="3" borderId="169" xfId="0" applyFont="1" applyFill="1" applyBorder="1" applyAlignment="1">
      <alignment vertical="center" wrapText="1"/>
    </xf>
    <xf numFmtId="0" fontId="26" fillId="3" borderId="169" xfId="0" applyFont="1" applyFill="1" applyBorder="1" applyAlignment="1">
      <alignment vertical="center" wrapText="1"/>
    </xf>
    <xf numFmtId="0" fontId="44" fillId="3" borderId="171" xfId="0" applyFont="1" applyFill="1" applyBorder="1" applyAlignment="1">
      <alignment horizontal="left" vertical="center"/>
    </xf>
    <xf numFmtId="0" fontId="27" fillId="3" borderId="166" xfId="0" applyFont="1" applyFill="1" applyBorder="1" applyAlignment="1">
      <alignment horizontal="left" vertical="center" wrapText="1"/>
    </xf>
    <xf numFmtId="0" fontId="44" fillId="3" borderId="183" xfId="0" applyFont="1" applyFill="1" applyBorder="1" applyAlignment="1">
      <alignment horizontal="left" vertical="center" wrapText="1"/>
    </xf>
    <xf numFmtId="0" fontId="45" fillId="3" borderId="184" xfId="0" applyFont="1" applyFill="1" applyBorder="1" applyAlignment="1">
      <alignment horizontal="right" vertical="center" wrapText="1"/>
    </xf>
    <xf numFmtId="0" fontId="27" fillId="3" borderId="184" xfId="0" applyFont="1" applyFill="1" applyBorder="1" applyAlignment="1">
      <alignment horizontal="left" vertical="center" wrapText="1"/>
    </xf>
    <xf numFmtId="0" fontId="27" fillId="3" borderId="185" xfId="0" applyFont="1" applyFill="1" applyBorder="1" applyAlignment="1">
      <alignment horizontal="center" vertical="center" wrapText="1"/>
    </xf>
    <xf numFmtId="0" fontId="27" fillId="3" borderId="184" xfId="0" applyFont="1" applyFill="1" applyBorder="1" applyAlignment="1">
      <alignment vertical="center" wrapText="1"/>
    </xf>
    <xf numFmtId="0" fontId="38" fillId="8" borderId="55" xfId="0" applyFont="1" applyFill="1" applyBorder="1" applyAlignment="1">
      <alignment horizontal="center" vertical="center" wrapText="1"/>
    </xf>
    <xf numFmtId="0" fontId="38" fillId="8" borderId="4" xfId="0" applyFont="1" applyFill="1" applyBorder="1" applyAlignment="1">
      <alignment horizontal="center" vertical="center" wrapText="1"/>
    </xf>
    <xf numFmtId="43" fontId="38" fillId="8" borderId="4" xfId="1" applyFont="1" applyFill="1" applyBorder="1" applyProtection="1"/>
    <xf numFmtId="0" fontId="49" fillId="3" borderId="107" xfId="0" applyFont="1" applyFill="1" applyBorder="1" applyAlignment="1">
      <alignment horizontal="center" vertical="center" wrapText="1"/>
    </xf>
    <xf numFmtId="0" fontId="49" fillId="3" borderId="108" xfId="0" applyFont="1" applyFill="1" applyBorder="1" applyAlignment="1">
      <alignment horizontal="center" vertical="center" wrapText="1"/>
    </xf>
    <xf numFmtId="0" fontId="49" fillId="3" borderId="109" xfId="0" applyFont="1" applyFill="1" applyBorder="1" applyAlignment="1">
      <alignment horizontal="center" vertical="center" wrapText="1"/>
    </xf>
    <xf numFmtId="0" fontId="26" fillId="3" borderId="107" xfId="0" applyFont="1" applyFill="1" applyBorder="1" applyAlignment="1">
      <alignment horizontal="left" vertical="center" wrapText="1"/>
    </xf>
    <xf numFmtId="0" fontId="26" fillId="3" borderId="108" xfId="0" applyFont="1" applyFill="1" applyBorder="1" applyAlignment="1">
      <alignment horizontal="left" vertical="center" wrapText="1"/>
    </xf>
    <xf numFmtId="0" fontId="26" fillId="3" borderId="109" xfId="0" applyFont="1" applyFill="1" applyBorder="1" applyAlignment="1">
      <alignment horizontal="left" vertical="center" wrapText="1"/>
    </xf>
    <xf numFmtId="0" fontId="39" fillId="3" borderId="183" xfId="0" applyFont="1" applyFill="1" applyBorder="1" applyAlignment="1">
      <alignment horizontal="left" vertical="center" wrapText="1"/>
    </xf>
    <xf numFmtId="0" fontId="46" fillId="3" borderId="184" xfId="0" applyFont="1" applyFill="1" applyBorder="1" applyAlignment="1">
      <alignment horizontal="left" vertical="center" wrapText="1"/>
    </xf>
    <xf numFmtId="0" fontId="26" fillId="3" borderId="184" xfId="0" applyFont="1" applyFill="1" applyBorder="1" applyAlignment="1">
      <alignment horizontal="left" vertical="center" wrapText="1"/>
    </xf>
    <xf numFmtId="0" fontId="49" fillId="3" borderId="184" xfId="0" applyFont="1" applyFill="1" applyBorder="1" applyAlignment="1">
      <alignment horizontal="center" vertical="center" wrapText="1"/>
    </xf>
    <xf numFmtId="0" fontId="50" fillId="3" borderId="185" xfId="0" applyFont="1" applyFill="1" applyBorder="1" applyAlignment="1">
      <alignment horizontal="center" vertical="center" wrapText="1"/>
    </xf>
    <xf numFmtId="0" fontId="26" fillId="3" borderId="166" xfId="0" applyFont="1" applyFill="1" applyBorder="1" applyAlignment="1">
      <alignment vertical="center" wrapText="1"/>
    </xf>
    <xf numFmtId="0" fontId="39" fillId="3" borderId="165" xfId="0" applyFont="1" applyFill="1" applyBorder="1" applyAlignment="1">
      <alignment vertical="center" wrapText="1"/>
    </xf>
    <xf numFmtId="0" fontId="46" fillId="3" borderId="166" xfId="0" applyFont="1" applyFill="1" applyBorder="1" applyAlignment="1">
      <alignment vertical="center" wrapText="1"/>
    </xf>
    <xf numFmtId="0" fontId="39" fillId="3" borderId="168" xfId="0" applyFont="1" applyFill="1" applyBorder="1" applyAlignment="1">
      <alignment vertical="center" wrapText="1"/>
    </xf>
    <xf numFmtId="0" fontId="46" fillId="3" borderId="169" xfId="0" applyFont="1" applyFill="1" applyBorder="1" applyAlignment="1">
      <alignment vertical="center" wrapText="1"/>
    </xf>
    <xf numFmtId="0" fontId="46" fillId="3" borderId="166" xfId="0" applyFont="1" applyFill="1" applyBorder="1" applyAlignment="1">
      <alignment horizontal="center" vertical="center" wrapText="1"/>
    </xf>
    <xf numFmtId="0" fontId="46" fillId="3" borderId="169" xfId="0" applyFont="1" applyFill="1" applyBorder="1" applyAlignment="1">
      <alignment horizontal="center" vertical="center" wrapText="1"/>
    </xf>
    <xf numFmtId="0" fontId="46" fillId="3" borderId="172" xfId="0" applyFont="1" applyFill="1" applyBorder="1" applyAlignment="1">
      <alignment horizontal="center" vertical="center" wrapText="1"/>
    </xf>
    <xf numFmtId="0" fontId="28" fillId="0" borderId="0" xfId="0" applyFont="1" applyAlignment="1">
      <alignment horizontal="center" vertical="center"/>
    </xf>
    <xf numFmtId="0" fontId="26" fillId="3" borderId="186" xfId="0" applyFont="1" applyFill="1" applyBorder="1" applyAlignment="1">
      <alignment horizontal="left" vertical="center" wrapText="1"/>
    </xf>
    <xf numFmtId="0" fontId="26" fillId="3" borderId="187" xfId="0" applyFont="1" applyFill="1" applyBorder="1" applyAlignment="1">
      <alignment horizontal="left" vertical="center" wrapText="1"/>
    </xf>
    <xf numFmtId="0" fontId="26" fillId="3" borderId="188" xfId="0" applyFont="1" applyFill="1" applyBorder="1" applyAlignment="1">
      <alignment horizontal="left" vertical="center" wrapText="1"/>
    </xf>
    <xf numFmtId="0" fontId="26" fillId="3" borderId="166" xfId="0" applyFont="1" applyFill="1" applyBorder="1" applyAlignment="1">
      <alignment horizontal="center" vertical="center" wrapText="1"/>
    </xf>
    <xf numFmtId="0" fontId="26" fillId="3" borderId="172" xfId="0" applyFont="1" applyFill="1" applyBorder="1" applyAlignment="1">
      <alignment horizontal="center" vertical="center" wrapText="1"/>
    </xf>
    <xf numFmtId="165" fontId="54" fillId="4" borderId="116" xfId="1" applyNumberFormat="1" applyFont="1" applyFill="1" applyBorder="1" applyAlignment="1">
      <alignment horizontal="center" vertical="center" wrapText="1"/>
    </xf>
    <xf numFmtId="165" fontId="54" fillId="4" borderId="117" xfId="1" applyNumberFormat="1" applyFont="1" applyFill="1" applyBorder="1" applyAlignment="1">
      <alignment horizontal="center" vertical="center" wrapText="1"/>
    </xf>
    <xf numFmtId="165" fontId="54" fillId="4" borderId="118" xfId="1" applyNumberFormat="1" applyFont="1" applyFill="1" applyBorder="1" applyAlignment="1">
      <alignment horizontal="center" vertical="center" wrapText="1"/>
    </xf>
    <xf numFmtId="165" fontId="54" fillId="5" borderId="117" xfId="1" applyNumberFormat="1" applyFont="1" applyFill="1" applyBorder="1" applyAlignment="1">
      <alignment horizontal="center" vertical="center" wrapText="1"/>
    </xf>
    <xf numFmtId="165" fontId="17" fillId="4" borderId="73" xfId="1" applyNumberFormat="1" applyFont="1" applyFill="1" applyBorder="1" applyAlignment="1">
      <alignment horizontal="left" vertical="center" wrapText="1"/>
    </xf>
    <xf numFmtId="165" fontId="10" fillId="4" borderId="78" xfId="1" applyNumberFormat="1" applyFont="1" applyFill="1" applyBorder="1" applyAlignment="1">
      <alignment horizontal="left" vertical="center" wrapText="1"/>
    </xf>
    <xf numFmtId="165" fontId="17" fillId="4" borderId="74" xfId="1" applyNumberFormat="1" applyFont="1" applyFill="1" applyBorder="1" applyAlignment="1">
      <alignment horizontal="left" vertical="center" wrapText="1"/>
    </xf>
    <xf numFmtId="165" fontId="10" fillId="4" borderId="79" xfId="1" applyNumberFormat="1" applyFont="1" applyFill="1" applyBorder="1" applyAlignment="1">
      <alignment horizontal="left" vertical="center" wrapText="1"/>
    </xf>
    <xf numFmtId="165" fontId="17" fillId="4" borderId="75" xfId="1" applyNumberFormat="1" applyFont="1" applyFill="1" applyBorder="1" applyAlignment="1">
      <alignment horizontal="left" vertical="center" wrapText="1"/>
    </xf>
    <xf numFmtId="165" fontId="10" fillId="4" borderId="80" xfId="1" applyNumberFormat="1" applyFont="1" applyFill="1" applyBorder="1" applyAlignment="1">
      <alignment horizontal="left" vertical="center" wrapText="1"/>
    </xf>
    <xf numFmtId="165" fontId="17" fillId="5" borderId="74" xfId="1" applyNumberFormat="1" applyFont="1" applyFill="1" applyBorder="1" applyAlignment="1">
      <alignment horizontal="left" vertical="center" wrapText="1"/>
    </xf>
    <xf numFmtId="165" fontId="10" fillId="5" borderId="79" xfId="1" applyNumberFormat="1" applyFont="1" applyFill="1" applyBorder="1" applyAlignment="1">
      <alignment horizontal="left" vertical="center" wrapText="1"/>
    </xf>
    <xf numFmtId="165" fontId="53" fillId="6" borderId="119" xfId="1" applyNumberFormat="1" applyFont="1" applyFill="1" applyBorder="1" applyAlignment="1">
      <alignment horizontal="center" vertical="center"/>
    </xf>
    <xf numFmtId="0" fontId="3" fillId="6" borderId="72" xfId="0" applyFont="1" applyFill="1" applyBorder="1" applyAlignment="1">
      <alignment vertical="center"/>
    </xf>
    <xf numFmtId="165" fontId="3" fillId="6" borderId="77" xfId="0" applyNumberFormat="1" applyFont="1" applyFill="1" applyBorder="1" applyAlignment="1">
      <alignment horizontal="center" vertical="center"/>
    </xf>
    <xf numFmtId="165" fontId="54" fillId="5" borderId="120" xfId="1" applyNumberFormat="1" applyFont="1" applyFill="1" applyBorder="1" applyAlignment="1">
      <alignment horizontal="center" vertical="center" wrapText="1"/>
    </xf>
    <xf numFmtId="165" fontId="17" fillId="5" borderId="75" xfId="1" applyNumberFormat="1" applyFont="1" applyFill="1" applyBorder="1" applyAlignment="1">
      <alignment horizontal="left" vertical="center" wrapText="1"/>
    </xf>
    <xf numFmtId="165" fontId="10" fillId="5" borderId="80" xfId="1" applyNumberFormat="1" applyFont="1" applyFill="1" applyBorder="1" applyAlignment="1">
      <alignment horizontal="left" vertical="center" wrapText="1"/>
    </xf>
    <xf numFmtId="165" fontId="53" fillId="6" borderId="7" xfId="1" applyNumberFormat="1" applyFont="1" applyFill="1" applyBorder="1" applyAlignment="1">
      <alignment horizontal="center" vertical="center"/>
    </xf>
    <xf numFmtId="0" fontId="3" fillId="6" borderId="0" xfId="0" applyFont="1" applyFill="1" applyAlignment="1">
      <alignment vertical="center"/>
    </xf>
    <xf numFmtId="165" fontId="3" fillId="6" borderId="76" xfId="0" applyNumberFormat="1" applyFont="1" applyFill="1" applyBorder="1" applyAlignment="1">
      <alignment horizontal="center" vertical="center"/>
    </xf>
    <xf numFmtId="165" fontId="53" fillId="6" borderId="22" xfId="1" applyNumberFormat="1" applyFont="1" applyFill="1" applyBorder="1" applyAlignment="1">
      <alignment horizontal="center" vertical="center"/>
    </xf>
    <xf numFmtId="165" fontId="3" fillId="6" borderId="77" xfId="0" applyNumberFormat="1" applyFont="1" applyFill="1" applyBorder="1" applyAlignment="1">
      <alignment horizontal="center" vertical="center" wrapText="1"/>
    </xf>
    <xf numFmtId="0" fontId="4" fillId="0" borderId="0" xfId="0" applyFont="1" applyAlignment="1">
      <alignment vertical="center"/>
    </xf>
    <xf numFmtId="165" fontId="3" fillId="8" borderId="21" xfId="1" applyNumberFormat="1" applyFont="1" applyFill="1" applyBorder="1" applyAlignment="1">
      <alignment horizontal="left" vertical="center" wrapText="1"/>
    </xf>
    <xf numFmtId="165" fontId="3" fillId="8" borderId="81" xfId="1" applyNumberFormat="1" applyFont="1" applyFill="1" applyBorder="1" applyAlignment="1">
      <alignment horizontal="left" vertical="center" wrapText="1"/>
    </xf>
    <xf numFmtId="0" fontId="53" fillId="8" borderId="4" xfId="0" applyFont="1" applyFill="1" applyBorder="1" applyAlignment="1">
      <alignment horizontal="center" vertical="center"/>
    </xf>
    <xf numFmtId="0" fontId="3" fillId="8" borderId="4" xfId="0" applyFont="1" applyFill="1" applyBorder="1" applyAlignment="1">
      <alignment horizontal="left" vertical="center"/>
    </xf>
    <xf numFmtId="0" fontId="0" fillId="0" borderId="0" xfId="0" applyAlignment="1">
      <alignment horizontal="center" vertical="center"/>
    </xf>
    <xf numFmtId="0" fontId="63" fillId="6" borderId="4" xfId="0" applyFont="1" applyFill="1" applyBorder="1" applyAlignment="1">
      <alignment horizontal="center" vertical="center" wrapText="1"/>
    </xf>
    <xf numFmtId="165" fontId="3" fillId="8" borderId="81" xfId="1" applyNumberFormat="1" applyFont="1" applyFill="1" applyBorder="1" applyAlignment="1">
      <alignment horizontal="center" vertical="center" wrapText="1"/>
    </xf>
    <xf numFmtId="165" fontId="9" fillId="6" borderId="77" xfId="0" applyNumberFormat="1" applyFont="1" applyFill="1" applyBorder="1" applyAlignment="1">
      <alignment horizontal="center" vertical="center"/>
    </xf>
    <xf numFmtId="165" fontId="9" fillId="6" borderId="76" xfId="0" applyNumberFormat="1" applyFont="1" applyFill="1" applyBorder="1" applyAlignment="1">
      <alignment horizontal="center" vertical="center"/>
    </xf>
    <xf numFmtId="0" fontId="30" fillId="0" borderId="0" xfId="0" applyFont="1"/>
    <xf numFmtId="0" fontId="9" fillId="8" borderId="4" xfId="0" applyFont="1" applyFill="1" applyBorder="1" applyAlignment="1">
      <alignment horizontal="left" vertical="center"/>
    </xf>
    <xf numFmtId="0" fontId="66" fillId="8" borderId="4" xfId="0" applyFont="1" applyFill="1" applyBorder="1" applyAlignment="1">
      <alignment horizontal="center" vertical="center"/>
    </xf>
    <xf numFmtId="168" fontId="9" fillId="6" borderId="4" xfId="2" applyNumberFormat="1" applyFont="1" applyFill="1" applyBorder="1" applyAlignment="1">
      <alignment horizontal="center" vertical="center" wrapText="1"/>
    </xf>
    <xf numFmtId="168" fontId="9" fillId="6" borderId="9" xfId="2" applyNumberFormat="1" applyFont="1" applyFill="1" applyBorder="1" applyAlignment="1">
      <alignment vertical="center" wrapText="1"/>
    </xf>
    <xf numFmtId="0" fontId="9" fillId="6" borderId="198" xfId="0" applyFont="1" applyFill="1" applyBorder="1" applyAlignment="1">
      <alignment vertical="center"/>
    </xf>
    <xf numFmtId="165" fontId="9" fillId="6" borderId="199" xfId="0" applyNumberFormat="1" applyFont="1" applyFill="1" applyBorder="1" applyAlignment="1">
      <alignment horizontal="center" vertical="center" wrapText="1"/>
    </xf>
    <xf numFmtId="0" fontId="9" fillId="6" borderId="203" xfId="0" applyFont="1" applyFill="1" applyBorder="1" applyAlignment="1">
      <alignment vertical="center"/>
    </xf>
    <xf numFmtId="0" fontId="9" fillId="6" borderId="11" xfId="0" applyFont="1" applyFill="1" applyBorder="1" applyAlignment="1">
      <alignment vertical="center"/>
    </xf>
    <xf numFmtId="165" fontId="9" fillId="8" borderId="206" xfId="1" applyNumberFormat="1" applyFont="1" applyFill="1" applyBorder="1" applyAlignment="1">
      <alignment horizontal="left" vertical="center" wrapText="1"/>
    </xf>
    <xf numFmtId="165" fontId="9" fillId="8" borderId="88" xfId="1" applyNumberFormat="1" applyFont="1" applyFill="1" applyBorder="1" applyAlignment="1">
      <alignment horizontal="left" vertical="center" wrapText="1"/>
    </xf>
    <xf numFmtId="164" fontId="9" fillId="8" borderId="81" xfId="1" applyNumberFormat="1" applyFont="1" applyFill="1" applyBorder="1"/>
    <xf numFmtId="165" fontId="67" fillId="4" borderId="200" xfId="1" applyNumberFormat="1" applyFont="1" applyFill="1" applyBorder="1" applyAlignment="1">
      <alignment horizontal="left" vertical="center" wrapText="1"/>
    </xf>
    <xf numFmtId="164" fontId="67" fillId="4" borderId="78" xfId="1" applyNumberFormat="1" applyFont="1" applyFill="1" applyBorder="1" applyAlignment="1">
      <alignment horizontal="left" vertical="center" wrapText="1"/>
    </xf>
    <xf numFmtId="168" fontId="36" fillId="4" borderId="191" xfId="2" applyNumberFormat="1" applyFont="1" applyFill="1" applyBorder="1" applyAlignment="1">
      <alignment horizontal="center" vertical="center"/>
    </xf>
    <xf numFmtId="168" fontId="36" fillId="4" borderId="192" xfId="2" applyNumberFormat="1" applyFont="1" applyFill="1" applyBorder="1" applyAlignment="1">
      <alignment horizontal="center"/>
    </xf>
    <xf numFmtId="165" fontId="67" fillId="5" borderId="201" xfId="1" applyNumberFormat="1" applyFont="1" applyFill="1" applyBorder="1" applyAlignment="1">
      <alignment horizontal="left" vertical="center" wrapText="1"/>
    </xf>
    <xf numFmtId="164" fontId="67" fillId="5" borderId="79" xfId="1" applyNumberFormat="1" applyFont="1" applyFill="1" applyBorder="1" applyAlignment="1">
      <alignment horizontal="left" vertical="center" wrapText="1"/>
    </xf>
    <xf numFmtId="168" fontId="36" fillId="5" borderId="193" xfId="2" applyNumberFormat="1" applyFont="1" applyFill="1" applyBorder="1" applyAlignment="1">
      <alignment horizontal="center" vertical="center"/>
    </xf>
    <xf numFmtId="168" fontId="36" fillId="5" borderId="194" xfId="2" applyNumberFormat="1" applyFont="1" applyFill="1" applyBorder="1" applyAlignment="1">
      <alignment horizontal="center"/>
    </xf>
    <xf numFmtId="165" fontId="67" fillId="4" borderId="201" xfId="1" applyNumberFormat="1" applyFont="1" applyFill="1" applyBorder="1" applyAlignment="1">
      <alignment horizontal="left" vertical="center" wrapText="1"/>
    </xf>
    <xf numFmtId="164" fontId="67" fillId="4" borderId="79" xfId="1" applyNumberFormat="1" applyFont="1" applyFill="1" applyBorder="1" applyAlignment="1">
      <alignment horizontal="left" vertical="center" wrapText="1"/>
    </xf>
    <xf numFmtId="168" fontId="36" fillId="4" borderId="193" xfId="2" applyNumberFormat="1" applyFont="1" applyFill="1" applyBorder="1" applyAlignment="1">
      <alignment horizontal="center" vertical="center"/>
    </xf>
    <xf numFmtId="168" fontId="36" fillId="4" borderId="194" xfId="2" applyNumberFormat="1" applyFont="1" applyFill="1" applyBorder="1" applyAlignment="1">
      <alignment horizontal="center"/>
    </xf>
    <xf numFmtId="165" fontId="67" fillId="4" borderId="202" xfId="1" applyNumberFormat="1" applyFont="1" applyFill="1" applyBorder="1" applyAlignment="1">
      <alignment horizontal="left" vertical="center" wrapText="1"/>
    </xf>
    <xf numFmtId="164" fontId="67" fillId="4" borderId="80" xfId="1" applyNumberFormat="1" applyFont="1" applyFill="1" applyBorder="1" applyAlignment="1">
      <alignment horizontal="left" vertical="center" wrapText="1"/>
    </xf>
    <xf numFmtId="168" fontId="36" fillId="4" borderId="195" xfId="2" applyNumberFormat="1" applyFont="1" applyFill="1" applyBorder="1" applyAlignment="1">
      <alignment horizontal="center" vertical="center"/>
    </xf>
    <xf numFmtId="168" fontId="36" fillId="4" borderId="197" xfId="2" applyNumberFormat="1" applyFont="1" applyFill="1" applyBorder="1" applyAlignment="1">
      <alignment horizontal="center"/>
    </xf>
    <xf numFmtId="168" fontId="68" fillId="4" borderId="193" xfId="2" applyNumberFormat="1" applyFont="1" applyFill="1" applyBorder="1" applyAlignment="1">
      <alignment horizontal="center" vertical="center"/>
    </xf>
    <xf numFmtId="165" fontId="67" fillId="5" borderId="204" xfId="1" applyNumberFormat="1" applyFont="1" applyFill="1" applyBorder="1" applyAlignment="1">
      <alignment horizontal="left" vertical="center" wrapText="1"/>
    </xf>
    <xf numFmtId="164" fontId="67" fillId="5" borderId="205" xfId="1" applyNumberFormat="1" applyFont="1" applyFill="1" applyBorder="1" applyAlignment="1">
      <alignment horizontal="left" vertical="center" wrapText="1"/>
    </xf>
    <xf numFmtId="168" fontId="36" fillId="5" borderId="195" xfId="2" applyNumberFormat="1" applyFont="1" applyFill="1" applyBorder="1" applyAlignment="1">
      <alignment horizontal="center" vertical="center"/>
    </xf>
    <xf numFmtId="168" fontId="36" fillId="5" borderId="197" xfId="2" applyNumberFormat="1" applyFont="1" applyFill="1" applyBorder="1" applyAlignment="1">
      <alignment horizontal="center"/>
    </xf>
    <xf numFmtId="165" fontId="67" fillId="4" borderId="89" xfId="1" applyNumberFormat="1" applyFont="1" applyFill="1" applyBorder="1" applyAlignment="1">
      <alignment horizontal="left" vertical="center" wrapText="1"/>
    </xf>
    <xf numFmtId="0" fontId="71" fillId="8" borderId="3" xfId="0" applyFont="1" applyFill="1" applyBorder="1" applyAlignment="1">
      <alignment horizontal="center" vertical="center" wrapText="1"/>
    </xf>
    <xf numFmtId="0" fontId="71" fillId="8" borderId="10" xfId="0" applyFont="1" applyFill="1" applyBorder="1" applyAlignment="1">
      <alignment horizontal="center" vertical="center" wrapText="1"/>
    </xf>
    <xf numFmtId="0" fontId="71" fillId="8" borderId="4" xfId="0" applyFont="1" applyFill="1" applyBorder="1" applyAlignment="1">
      <alignment horizontal="center" vertical="center" wrapText="1"/>
    </xf>
    <xf numFmtId="0" fontId="22" fillId="8" borderId="4" xfId="0" applyFont="1" applyFill="1" applyBorder="1" applyAlignment="1">
      <alignment horizontal="center"/>
    </xf>
    <xf numFmtId="0" fontId="22" fillId="8" borderId="9" xfId="0" applyFont="1" applyFill="1" applyBorder="1" applyAlignment="1">
      <alignment horizontal="center"/>
    </xf>
    <xf numFmtId="0" fontId="71" fillId="6" borderId="4" xfId="0" applyFont="1" applyFill="1" applyBorder="1" applyAlignment="1">
      <alignment horizontal="center" vertical="center" wrapText="1"/>
    </xf>
    <xf numFmtId="2" fontId="22" fillId="6" borderId="4" xfId="0" applyNumberFormat="1" applyFont="1" applyFill="1" applyBorder="1" applyAlignment="1">
      <alignment horizontal="center"/>
    </xf>
    <xf numFmtId="0" fontId="71" fillId="6" borderId="3" xfId="0" applyFont="1" applyFill="1" applyBorder="1" applyAlignment="1">
      <alignment horizontal="center" vertical="center" wrapText="1"/>
    </xf>
    <xf numFmtId="0" fontId="71" fillId="6" borderId="10" xfId="0" applyFont="1" applyFill="1" applyBorder="1" applyAlignment="1">
      <alignment horizontal="center" vertical="center" wrapText="1"/>
    </xf>
    <xf numFmtId="0" fontId="71" fillId="6" borderId="10" xfId="0" applyFont="1" applyFill="1" applyBorder="1" applyAlignment="1">
      <alignment horizontal="left" vertical="center" wrapText="1"/>
    </xf>
    <xf numFmtId="0" fontId="78" fillId="6" borderId="2" xfId="0" applyFont="1" applyFill="1" applyBorder="1" applyAlignment="1">
      <alignment horizontal="center" vertical="center" wrapText="1"/>
    </xf>
    <xf numFmtId="2" fontId="65" fillId="6" borderId="1" xfId="0" applyNumberFormat="1" applyFont="1" applyFill="1" applyBorder="1" applyAlignment="1">
      <alignment horizontal="center"/>
    </xf>
    <xf numFmtId="2" fontId="78" fillId="6" borderId="1" xfId="0" applyNumberFormat="1" applyFont="1" applyFill="1" applyBorder="1"/>
    <xf numFmtId="166" fontId="78" fillId="6" borderId="1" xfId="0" applyNumberFormat="1" applyFont="1" applyFill="1" applyBorder="1"/>
    <xf numFmtId="166" fontId="65" fillId="6" borderId="1" xfId="0" applyNumberFormat="1" applyFont="1" applyFill="1" applyBorder="1"/>
    <xf numFmtId="0" fontId="2" fillId="3" borderId="4" xfId="0" applyFont="1" applyFill="1" applyBorder="1"/>
    <xf numFmtId="167" fontId="20" fillId="3" borderId="22" xfId="1" applyNumberFormat="1" applyFont="1" applyFill="1" applyBorder="1" applyAlignment="1">
      <alignment horizontal="center"/>
    </xf>
    <xf numFmtId="167" fontId="29" fillId="3" borderId="22" xfId="1" applyNumberFormat="1" applyFont="1" applyFill="1" applyBorder="1" applyAlignment="1">
      <alignment horizontal="center"/>
    </xf>
    <xf numFmtId="49" fontId="2" fillId="3" borderId="3" xfId="0" applyNumberFormat="1" applyFont="1" applyFill="1" applyBorder="1" applyAlignment="1">
      <alignment horizontal="center"/>
    </xf>
    <xf numFmtId="167" fontId="29" fillId="3" borderId="3" xfId="0" applyNumberFormat="1" applyFont="1" applyFill="1" applyBorder="1" applyAlignment="1">
      <alignment horizontal="center"/>
    </xf>
    <xf numFmtId="167" fontId="65" fillId="8" borderId="4" xfId="0" applyNumberFormat="1" applyFont="1" applyFill="1" applyBorder="1" applyAlignment="1">
      <alignment horizontal="center"/>
    </xf>
    <xf numFmtId="0" fontId="79" fillId="6" borderId="0" xfId="0" applyFont="1" applyFill="1" applyAlignment="1">
      <alignment vertical="center"/>
    </xf>
    <xf numFmtId="0" fontId="81" fillId="6" borderId="0" xfId="0" applyFont="1" applyFill="1" applyAlignment="1">
      <alignment vertical="center"/>
    </xf>
    <xf numFmtId="166" fontId="31" fillId="6" borderId="41" xfId="0" applyNumberFormat="1" applyFont="1" applyFill="1" applyBorder="1" applyAlignment="1">
      <alignment vertical="center"/>
    </xf>
    <xf numFmtId="0" fontId="34" fillId="3" borderId="40" xfId="0" applyFont="1" applyFill="1" applyBorder="1" applyAlignment="1">
      <alignment vertical="center"/>
    </xf>
    <xf numFmtId="0" fontId="4" fillId="3" borderId="45" xfId="0" applyFont="1" applyFill="1" applyBorder="1"/>
    <xf numFmtId="166" fontId="33" fillId="3" borderId="41" xfId="0" applyNumberFormat="1" applyFont="1" applyFill="1" applyBorder="1" applyAlignment="1">
      <alignment vertical="center"/>
    </xf>
    <xf numFmtId="0" fontId="60" fillId="6" borderId="3" xfId="0" applyFont="1" applyFill="1" applyBorder="1" applyAlignment="1">
      <alignment horizontal="center" vertical="center" wrapText="1"/>
    </xf>
    <xf numFmtId="0" fontId="60" fillId="6" borderId="10" xfId="0" applyFont="1" applyFill="1" applyBorder="1" applyAlignment="1">
      <alignment horizontal="center" vertical="center" wrapText="1"/>
    </xf>
    <xf numFmtId="0" fontId="60" fillId="6" borderId="10" xfId="0" applyFont="1" applyFill="1" applyBorder="1" applyAlignment="1">
      <alignment horizontal="left" vertical="center" wrapText="1"/>
    </xf>
    <xf numFmtId="164" fontId="3" fillId="6" borderId="18" xfId="1" applyNumberFormat="1" applyFont="1" applyFill="1" applyBorder="1"/>
    <xf numFmtId="164" fontId="31" fillId="8" borderId="33" xfId="1" applyNumberFormat="1" applyFont="1" applyFill="1" applyBorder="1"/>
    <xf numFmtId="0" fontId="13" fillId="3" borderId="4" xfId="0" applyFont="1" applyFill="1" applyBorder="1" applyAlignment="1">
      <alignment horizontal="center" vertical="center" wrapText="1"/>
    </xf>
    <xf numFmtId="43" fontId="60" fillId="6" borderId="3" xfId="1" applyFont="1" applyFill="1" applyBorder="1" applyAlignment="1">
      <alignment horizontal="right" vertical="center" wrapText="1"/>
    </xf>
    <xf numFmtId="43" fontId="60" fillId="6" borderId="3" xfId="1" applyFont="1" applyFill="1" applyBorder="1" applyAlignment="1">
      <alignment horizontal="center" vertical="center" wrapText="1"/>
    </xf>
    <xf numFmtId="0" fontId="79" fillId="8" borderId="0" xfId="0" applyFont="1" applyFill="1" applyAlignment="1">
      <alignment vertical="center"/>
    </xf>
    <xf numFmtId="166" fontId="32" fillId="4" borderId="41" xfId="0" applyNumberFormat="1" applyFont="1" applyFill="1" applyBorder="1" applyAlignment="1">
      <alignment vertical="center"/>
    </xf>
    <xf numFmtId="0" fontId="84" fillId="6" borderId="4" xfId="0" applyFont="1" applyFill="1" applyBorder="1" applyAlignment="1">
      <alignment horizontal="center" vertical="center"/>
    </xf>
    <xf numFmtId="0" fontId="84" fillId="6" borderId="4" xfId="0" applyFont="1" applyFill="1" applyBorder="1"/>
    <xf numFmtId="9" fontId="69" fillId="3" borderId="4" xfId="2" applyFont="1" applyFill="1" applyBorder="1" applyAlignment="1">
      <alignment horizontal="center" vertical="center"/>
    </xf>
    <xf numFmtId="0" fontId="22" fillId="4" borderId="26" xfId="0" applyFont="1" applyFill="1" applyBorder="1"/>
    <xf numFmtId="0" fontId="22" fillId="4" borderId="0" xfId="0" applyFont="1" applyFill="1"/>
    <xf numFmtId="0" fontId="72" fillId="8" borderId="3" xfId="0" applyFont="1" applyFill="1" applyBorder="1" applyAlignment="1">
      <alignment horizontal="center" vertical="center" wrapText="1"/>
    </xf>
    <xf numFmtId="165" fontId="26" fillId="9" borderId="58" xfId="1" applyNumberFormat="1" applyFont="1" applyFill="1" applyBorder="1" applyAlignment="1" applyProtection="1">
      <alignment horizontal="center" vertical="center" wrapText="1"/>
      <protection locked="0"/>
    </xf>
    <xf numFmtId="165" fontId="26" fillId="9" borderId="63" xfId="1" applyNumberFormat="1" applyFont="1" applyFill="1" applyBorder="1" applyAlignment="1" applyProtection="1">
      <alignment horizontal="center" vertical="center" wrapText="1"/>
      <protection locked="0"/>
    </xf>
    <xf numFmtId="165" fontId="26" fillId="9" borderId="69" xfId="1" applyNumberFormat="1" applyFont="1" applyFill="1" applyBorder="1" applyAlignment="1" applyProtection="1">
      <alignment horizontal="center" vertical="center" wrapText="1"/>
      <protection locked="0"/>
    </xf>
    <xf numFmtId="165" fontId="27" fillId="9" borderId="58" xfId="1" applyNumberFormat="1" applyFont="1" applyFill="1" applyBorder="1" applyAlignment="1" applyProtection="1">
      <alignment horizontal="center" vertical="center" wrapText="1"/>
      <protection locked="0"/>
    </xf>
    <xf numFmtId="165" fontId="27" fillId="9" borderId="63" xfId="1" applyNumberFormat="1" applyFont="1" applyFill="1" applyBorder="1" applyAlignment="1" applyProtection="1">
      <alignment horizontal="center" vertical="center" wrapText="1"/>
      <protection locked="0"/>
    </xf>
    <xf numFmtId="165" fontId="27" fillId="9" borderId="69" xfId="1" applyNumberFormat="1" applyFont="1" applyFill="1" applyBorder="1" applyAlignment="1" applyProtection="1">
      <alignment horizontal="center" vertical="center" wrapText="1"/>
      <protection locked="0"/>
    </xf>
    <xf numFmtId="165" fontId="26" fillId="9" borderId="83" xfId="1" applyNumberFormat="1" applyFont="1" applyFill="1" applyBorder="1" applyAlignment="1" applyProtection="1">
      <alignment horizontal="center" vertical="center" wrapText="1"/>
      <protection locked="0"/>
    </xf>
    <xf numFmtId="165" fontId="26" fillId="9" borderId="85" xfId="1" applyNumberFormat="1" applyFont="1" applyFill="1" applyBorder="1" applyAlignment="1" applyProtection="1">
      <alignment horizontal="center" vertical="center" wrapText="1"/>
      <protection locked="0"/>
    </xf>
    <xf numFmtId="0" fontId="27" fillId="3" borderId="57" xfId="0" applyFont="1" applyFill="1" applyBorder="1" applyAlignment="1">
      <alignment horizontal="center" vertical="center" wrapText="1"/>
    </xf>
    <xf numFmtId="0" fontId="27" fillId="3" borderId="62" xfId="0" applyFont="1" applyFill="1" applyBorder="1" applyAlignment="1">
      <alignment horizontal="center" vertical="center" wrapText="1"/>
    </xf>
    <xf numFmtId="0" fontId="27" fillId="3" borderId="66" xfId="0" applyFont="1" applyFill="1" applyBorder="1" applyAlignment="1">
      <alignment horizontal="center" vertical="center" wrapText="1"/>
    </xf>
    <xf numFmtId="0" fontId="27" fillId="3" borderId="56" xfId="0" applyFont="1" applyFill="1" applyBorder="1" applyAlignment="1">
      <alignment horizontal="center" vertical="center" wrapText="1"/>
    </xf>
    <xf numFmtId="0" fontId="27" fillId="3" borderId="68" xfId="0" applyFont="1" applyFill="1" applyBorder="1" applyAlignment="1">
      <alignment horizontal="center" vertical="center" wrapText="1"/>
    </xf>
    <xf numFmtId="0" fontId="27" fillId="3" borderId="61" xfId="0" applyFont="1" applyFill="1" applyBorder="1" applyAlignment="1">
      <alignment horizontal="center" vertical="center" wrapText="1"/>
    </xf>
    <xf numFmtId="165" fontId="26" fillId="9" borderId="4" xfId="1" applyNumberFormat="1" applyFont="1" applyFill="1" applyBorder="1" applyAlignment="1" applyProtection="1">
      <alignment horizontal="center" vertical="center" wrapText="1"/>
      <protection locked="0"/>
    </xf>
    <xf numFmtId="165" fontId="26" fillId="9" borderId="97" xfId="1" applyNumberFormat="1" applyFont="1" applyFill="1" applyBorder="1" applyAlignment="1" applyProtection="1">
      <alignment horizontal="center" vertical="center" wrapText="1"/>
      <protection locked="0"/>
    </xf>
    <xf numFmtId="165" fontId="26" fillId="9" borderId="60" xfId="1" applyNumberFormat="1" applyFont="1" applyFill="1" applyBorder="1" applyAlignment="1" applyProtection="1">
      <alignment horizontal="center" vertical="center" wrapText="1"/>
      <protection locked="0"/>
    </xf>
    <xf numFmtId="165" fontId="26" fillId="9" borderId="98" xfId="1" applyNumberFormat="1" applyFont="1" applyFill="1" applyBorder="1" applyAlignment="1" applyProtection="1">
      <alignment horizontal="center" vertical="center" wrapText="1"/>
      <protection locked="0"/>
    </xf>
    <xf numFmtId="165" fontId="26" fillId="9" borderId="65" xfId="1" applyNumberFormat="1" applyFont="1" applyFill="1" applyBorder="1" applyAlignment="1" applyProtection="1">
      <alignment horizontal="center" vertical="center" wrapText="1"/>
      <protection locked="0"/>
    </xf>
    <xf numFmtId="165" fontId="26" fillId="9" borderId="99" xfId="1" applyNumberFormat="1" applyFont="1" applyFill="1" applyBorder="1" applyAlignment="1" applyProtection="1">
      <alignment horizontal="center" vertical="center" wrapText="1"/>
      <protection locked="0"/>
    </xf>
    <xf numFmtId="165" fontId="26" fillId="9" borderId="67" xfId="1" applyNumberFormat="1" applyFont="1" applyFill="1" applyBorder="1" applyAlignment="1" applyProtection="1">
      <alignment horizontal="center" vertical="center" wrapText="1"/>
      <protection locked="0"/>
    </xf>
    <xf numFmtId="165" fontId="26" fillId="9" borderId="100" xfId="1" applyNumberFormat="1" applyFont="1" applyFill="1" applyBorder="1" applyAlignment="1" applyProtection="1">
      <alignment horizontal="center" vertical="center" wrapText="1"/>
      <protection locked="0"/>
    </xf>
    <xf numFmtId="165" fontId="26" fillId="9" borderId="71" xfId="1" applyNumberFormat="1" applyFont="1" applyFill="1" applyBorder="1" applyAlignment="1" applyProtection="1">
      <alignment horizontal="center" vertical="center" wrapText="1"/>
      <protection locked="0"/>
    </xf>
    <xf numFmtId="165" fontId="26" fillId="9" borderId="101" xfId="1" applyNumberFormat="1" applyFont="1" applyFill="1" applyBorder="1" applyAlignment="1" applyProtection="1">
      <alignment horizontal="center" vertical="center" wrapText="1"/>
      <protection locked="0"/>
    </xf>
    <xf numFmtId="165" fontId="26" fillId="9" borderId="87" xfId="1" applyNumberFormat="1" applyFont="1" applyFill="1" applyBorder="1" applyAlignment="1" applyProtection="1">
      <alignment horizontal="center" vertical="center" wrapText="1"/>
      <protection locked="0"/>
    </xf>
    <xf numFmtId="165" fontId="26" fillId="9" borderId="102" xfId="1" applyNumberFormat="1" applyFont="1" applyFill="1" applyBorder="1" applyAlignment="1" applyProtection="1">
      <alignment horizontal="center" vertical="center" wrapText="1"/>
      <protection locked="0"/>
    </xf>
    <xf numFmtId="165" fontId="26" fillId="9" borderId="82" xfId="1" applyNumberFormat="1" applyFont="1" applyFill="1" applyBorder="1" applyAlignment="1" applyProtection="1">
      <alignment horizontal="center" vertical="center" wrapText="1"/>
      <protection locked="0"/>
    </xf>
    <xf numFmtId="165" fontId="26" fillId="9" borderId="103" xfId="1" applyNumberFormat="1" applyFont="1" applyFill="1" applyBorder="1" applyAlignment="1" applyProtection="1">
      <alignment horizontal="center" vertical="center" wrapText="1"/>
      <protection locked="0"/>
    </xf>
    <xf numFmtId="165" fontId="26" fillId="9" borderId="76" xfId="1" applyNumberFormat="1" applyFont="1" applyFill="1" applyBorder="1" applyAlignment="1" applyProtection="1">
      <alignment horizontal="center" vertical="center" wrapText="1"/>
      <protection locked="0"/>
    </xf>
    <xf numFmtId="165" fontId="26" fillId="9" borderId="40" xfId="1" applyNumberFormat="1" applyFont="1" applyFill="1" applyBorder="1" applyAlignment="1" applyProtection="1">
      <alignment horizontal="center" vertical="center" wrapText="1"/>
      <protection locked="0"/>
    </xf>
    <xf numFmtId="165" fontId="26" fillId="9" borderId="9" xfId="1" applyNumberFormat="1" applyFont="1" applyFill="1" applyBorder="1" applyAlignment="1" applyProtection="1">
      <alignment horizontal="center" vertical="center" wrapText="1"/>
      <protection locked="0"/>
    </xf>
    <xf numFmtId="165" fontId="26" fillId="9" borderId="104" xfId="1" applyNumberFormat="1" applyFont="1" applyFill="1" applyBorder="1" applyAlignment="1" applyProtection="1">
      <alignment horizontal="center" vertical="center" wrapText="1"/>
      <protection locked="0"/>
    </xf>
    <xf numFmtId="165" fontId="26" fillId="9" borderId="10" xfId="1" applyNumberFormat="1" applyFont="1" applyFill="1" applyBorder="1" applyAlignment="1" applyProtection="1">
      <alignment horizontal="center" vertical="center" wrapText="1"/>
      <protection locked="0"/>
    </xf>
    <xf numFmtId="0" fontId="3" fillId="6" borderId="4" xfId="0" applyFont="1" applyFill="1" applyBorder="1" applyAlignment="1">
      <alignment horizontal="center" vertical="center" wrapText="1"/>
    </xf>
    <xf numFmtId="0" fontId="88" fillId="6" borderId="4" xfId="0" applyFont="1" applyFill="1" applyBorder="1" applyAlignment="1">
      <alignment horizontal="center" vertical="center" wrapText="1"/>
    </xf>
    <xf numFmtId="49" fontId="36" fillId="0" borderId="196" xfId="2" applyNumberFormat="1" applyFont="1" applyFill="1" applyBorder="1" applyAlignment="1">
      <alignment horizontal="center"/>
    </xf>
    <xf numFmtId="49" fontId="36" fillId="5" borderId="194" xfId="2" applyNumberFormat="1" applyFont="1" applyFill="1" applyBorder="1" applyAlignment="1">
      <alignment horizontal="center"/>
    </xf>
    <xf numFmtId="49" fontId="36" fillId="0" borderId="194" xfId="2" applyNumberFormat="1" applyFont="1" applyFill="1" applyBorder="1" applyAlignment="1">
      <alignment horizontal="center"/>
    </xf>
    <xf numFmtId="0" fontId="36" fillId="5" borderId="194" xfId="2" applyNumberFormat="1" applyFont="1" applyFill="1" applyBorder="1" applyAlignment="1">
      <alignment horizontal="center"/>
    </xf>
    <xf numFmtId="0" fontId="22" fillId="6" borderId="25" xfId="0" applyFont="1" applyFill="1" applyBorder="1" applyAlignment="1">
      <alignment horizontal="center"/>
    </xf>
    <xf numFmtId="0" fontId="22" fillId="6" borderId="26" xfId="0" applyFont="1" applyFill="1" applyBorder="1" applyAlignment="1">
      <alignment horizontal="center"/>
    </xf>
    <xf numFmtId="0" fontId="0" fillId="0" borderId="11" xfId="0" applyBorder="1" applyAlignment="1">
      <alignment horizontal="center" vertical="center"/>
    </xf>
    <xf numFmtId="167" fontId="11" fillId="0" borderId="5" xfId="1" applyNumberFormat="1" applyFont="1" applyFill="1" applyBorder="1" applyAlignment="1">
      <alignment horizontal="center" vertical="center" wrapText="1"/>
    </xf>
    <xf numFmtId="167" fontId="11" fillId="0" borderId="12"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3" xfId="0" applyFont="1" applyBorder="1" applyAlignment="1">
      <alignment horizontal="left" vertical="center" wrapText="1"/>
    </xf>
    <xf numFmtId="167" fontId="18" fillId="0" borderId="6" xfId="1" applyNumberFormat="1" applyFont="1" applyBorder="1" applyAlignment="1">
      <alignment horizontal="center" vertical="center" wrapText="1"/>
    </xf>
    <xf numFmtId="167" fontId="18" fillId="0" borderId="7" xfId="1" applyNumberFormat="1" applyFont="1" applyBorder="1" applyAlignment="1">
      <alignment horizontal="center" vertical="center" wrapText="1"/>
    </xf>
    <xf numFmtId="2" fontId="16" fillId="0" borderId="6" xfId="0" applyNumberFormat="1"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3" xfId="0" applyNumberFormat="1" applyFont="1" applyBorder="1" applyAlignment="1">
      <alignment horizontal="center"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43" fontId="0" fillId="0" borderId="12" xfId="0" applyNumberFormat="1" applyBorder="1" applyAlignment="1">
      <alignment horizontal="center" vertical="center"/>
    </xf>
    <xf numFmtId="0" fontId="0" fillId="0" borderId="11" xfId="0" applyBorder="1" applyAlignment="1">
      <alignment vertical="center"/>
    </xf>
    <xf numFmtId="43" fontId="0" fillId="0" borderId="12" xfId="0" applyNumberFormat="1" applyBorder="1" applyAlignment="1">
      <alignment vertical="center"/>
    </xf>
    <xf numFmtId="0" fontId="72" fillId="6" borderId="3" xfId="0" applyFont="1" applyFill="1" applyBorder="1" applyAlignment="1">
      <alignment horizontal="center" vertical="center" wrapText="1"/>
    </xf>
    <xf numFmtId="165" fontId="17" fillId="0" borderId="21" xfId="1" applyNumberFormat="1" applyFont="1" applyFill="1" applyBorder="1" applyAlignment="1">
      <alignment horizontal="left" vertical="center" wrapText="1"/>
    </xf>
    <xf numFmtId="0" fontId="10" fillId="0" borderId="0" xfId="0" applyFont="1" applyAlignment="1">
      <alignment vertical="center"/>
    </xf>
    <xf numFmtId="0" fontId="10" fillId="0" borderId="0" xfId="0" applyFont="1"/>
    <xf numFmtId="165" fontId="17" fillId="0" borderId="81" xfId="1" applyNumberFormat="1" applyFont="1" applyFill="1" applyBorder="1" applyAlignment="1">
      <alignment horizontal="left" vertical="center" wrapText="1"/>
    </xf>
    <xf numFmtId="0" fontId="3" fillId="8" borderId="25" xfId="0" applyFont="1" applyFill="1" applyBorder="1" applyAlignment="1">
      <alignment horizontal="center" vertical="center"/>
    </xf>
    <xf numFmtId="164" fontId="2" fillId="4" borderId="47" xfId="1" applyNumberFormat="1" applyFont="1" applyFill="1" applyBorder="1" applyAlignment="1">
      <alignment vertical="center"/>
    </xf>
    <xf numFmtId="164" fontId="89" fillId="0" borderId="0" xfId="0" applyNumberFormat="1" applyFont="1"/>
    <xf numFmtId="0" fontId="89" fillId="0" borderId="0" xfId="0" applyFont="1"/>
    <xf numFmtId="165" fontId="90" fillId="6" borderId="199" xfId="0" applyNumberFormat="1" applyFont="1" applyFill="1" applyBorder="1" applyAlignment="1">
      <alignment horizontal="center" vertical="center" wrapText="1"/>
    </xf>
    <xf numFmtId="0" fontId="91" fillId="6" borderId="11" xfId="0" applyFont="1" applyFill="1" applyBorder="1" applyAlignment="1">
      <alignment vertical="center"/>
    </xf>
    <xf numFmtId="169" fontId="91" fillId="6" borderId="76" xfId="2" applyNumberFormat="1" applyFont="1" applyFill="1" applyBorder="1" applyAlignment="1">
      <alignment horizontal="center" vertical="center"/>
    </xf>
    <xf numFmtId="165" fontId="31" fillId="8" borderId="25" xfId="1" applyNumberFormat="1" applyFont="1" applyFill="1" applyBorder="1" applyAlignment="1">
      <alignment horizontal="left" vertical="center" wrapText="1"/>
    </xf>
    <xf numFmtId="164" fontId="31" fillId="8" borderId="207" xfId="1" applyNumberFormat="1" applyFont="1" applyFill="1" applyBorder="1"/>
    <xf numFmtId="0" fontId="37" fillId="0" borderId="0" xfId="0" applyFont="1"/>
    <xf numFmtId="0" fontId="26" fillId="3" borderId="144" xfId="0" applyFont="1" applyFill="1" applyBorder="1" applyAlignment="1">
      <alignment horizontal="center" vertical="center" wrapText="1"/>
    </xf>
    <xf numFmtId="0" fontId="26" fillId="3" borderId="144" xfId="0" applyFont="1" applyFill="1" applyBorder="1" applyAlignment="1">
      <alignment horizontal="left" vertical="center" wrapText="1"/>
    </xf>
    <xf numFmtId="0" fontId="26" fillId="3" borderId="141" xfId="0" applyFont="1" applyFill="1" applyBorder="1" applyAlignment="1">
      <alignment horizontal="center" vertical="center" wrapText="1"/>
    </xf>
    <xf numFmtId="0" fontId="26" fillId="3" borderId="147" xfId="0" applyFont="1" applyFill="1" applyBorder="1" applyAlignment="1">
      <alignment horizontal="center" vertical="center" wrapText="1"/>
    </xf>
    <xf numFmtId="0" fontId="26" fillId="3" borderId="159" xfId="0" applyFont="1" applyFill="1" applyBorder="1" applyAlignment="1">
      <alignment horizontal="left" vertical="center" wrapText="1"/>
    </xf>
    <xf numFmtId="0" fontId="26" fillId="3" borderId="160" xfId="0" applyFont="1" applyFill="1" applyBorder="1" applyAlignment="1">
      <alignment horizontal="left" vertical="center" wrapText="1"/>
    </xf>
    <xf numFmtId="0" fontId="26" fillId="3" borderId="161" xfId="0" applyFont="1" applyFill="1" applyBorder="1" applyAlignment="1">
      <alignment horizontal="left" vertical="center" wrapText="1"/>
    </xf>
    <xf numFmtId="0" fontId="45" fillId="3" borderId="144" xfId="0" applyFont="1" applyFill="1" applyBorder="1" applyAlignment="1">
      <alignment horizontal="right" vertical="center" wrapText="1"/>
    </xf>
    <xf numFmtId="0" fontId="45" fillId="3" borderId="141" xfId="0" applyFont="1" applyFill="1" applyBorder="1" applyAlignment="1">
      <alignment horizontal="right" vertical="center" wrapText="1"/>
    </xf>
    <xf numFmtId="0" fontId="45" fillId="3" borderId="169" xfId="0" applyFont="1" applyFill="1" applyBorder="1" applyAlignment="1">
      <alignment horizontal="right" vertical="center" wrapText="1"/>
    </xf>
    <xf numFmtId="0" fontId="45" fillId="3" borderId="172" xfId="0" applyFont="1" applyFill="1" applyBorder="1" applyAlignment="1">
      <alignment horizontal="right" vertical="center" wrapText="1"/>
    </xf>
    <xf numFmtId="0" fontId="39" fillId="3" borderId="165" xfId="0" applyFont="1" applyFill="1" applyBorder="1" applyAlignment="1">
      <alignment horizontal="left" vertical="center" wrapText="1"/>
    </xf>
    <xf numFmtId="0" fontId="39" fillId="3" borderId="168" xfId="0" applyFont="1" applyFill="1" applyBorder="1" applyAlignment="1">
      <alignment horizontal="left" vertical="center" wrapText="1"/>
    </xf>
    <xf numFmtId="0" fontId="26" fillId="3" borderId="166" xfId="0" applyFont="1" applyFill="1" applyBorder="1" applyAlignment="1">
      <alignment horizontal="left" vertical="center" wrapText="1"/>
    </xf>
    <xf numFmtId="0" fontId="26" fillId="3" borderId="169" xfId="0" applyFont="1" applyFill="1" applyBorder="1" applyAlignment="1">
      <alignment horizontal="left" vertical="center" wrapText="1"/>
    </xf>
    <xf numFmtId="0" fontId="26" fillId="3" borderId="172" xfId="0" applyFont="1" applyFill="1" applyBorder="1" applyAlignment="1">
      <alignment horizontal="left" vertical="center" wrapText="1"/>
    </xf>
    <xf numFmtId="0" fontId="44" fillId="3" borderId="165" xfId="0" applyFont="1" applyFill="1" applyBorder="1" applyAlignment="1">
      <alignment horizontal="left" vertical="center" wrapText="1"/>
    </xf>
    <xf numFmtId="0" fontId="44" fillId="3" borderId="168" xfId="0" applyFont="1" applyFill="1" applyBorder="1" applyAlignment="1">
      <alignment horizontal="left" vertical="center" wrapText="1"/>
    </xf>
    <xf numFmtId="0" fontId="44" fillId="3" borderId="171" xfId="0" applyFont="1" applyFill="1" applyBorder="1" applyAlignment="1">
      <alignment horizontal="left" vertical="center" wrapText="1"/>
    </xf>
    <xf numFmtId="0" fontId="39" fillId="3" borderId="171" xfId="0" applyFont="1" applyFill="1" applyBorder="1" applyAlignment="1">
      <alignment horizontal="left" vertical="center" wrapText="1"/>
    </xf>
    <xf numFmtId="0" fontId="49" fillId="3" borderId="166" xfId="0" applyFont="1" applyFill="1" applyBorder="1" applyAlignment="1">
      <alignment horizontal="center" vertical="center" wrapText="1"/>
    </xf>
    <xf numFmtId="0" fontId="49" fillId="3" borderId="169" xfId="0" applyFont="1" applyFill="1" applyBorder="1" applyAlignment="1">
      <alignment horizontal="center" vertical="center" wrapText="1"/>
    </xf>
    <xf numFmtId="0" fontId="49" fillId="3" borderId="172" xfId="0" applyFont="1" applyFill="1" applyBorder="1" applyAlignment="1">
      <alignment horizontal="center" vertical="center" wrapText="1"/>
    </xf>
    <xf numFmtId="165" fontId="26" fillId="9" borderId="7" xfId="1" applyNumberFormat="1" applyFont="1" applyFill="1" applyBorder="1" applyAlignment="1" applyProtection="1">
      <alignment horizontal="center" vertical="center" wrapText="1"/>
      <protection locked="0"/>
    </xf>
    <xf numFmtId="165" fontId="0" fillId="0" borderId="0" xfId="0" applyNumberFormat="1"/>
    <xf numFmtId="165" fontId="3" fillId="8" borderId="4" xfId="0" applyNumberFormat="1" applyFont="1" applyFill="1" applyBorder="1" applyAlignment="1">
      <alignment horizontal="center" vertical="center"/>
    </xf>
    <xf numFmtId="165" fontId="3" fillId="6" borderId="18" xfId="1" applyNumberFormat="1" applyFont="1" applyFill="1" applyBorder="1"/>
    <xf numFmtId="164" fontId="92" fillId="6" borderId="18" xfId="1" applyNumberFormat="1" applyFont="1" applyFill="1" applyBorder="1"/>
    <xf numFmtId="0" fontId="92" fillId="8" borderId="4" xfId="0" applyFont="1" applyFill="1" applyBorder="1" applyAlignment="1">
      <alignment horizontal="center" vertical="center"/>
    </xf>
    <xf numFmtId="164" fontId="3" fillId="6" borderId="18" xfId="1" applyNumberFormat="1" applyFont="1" applyFill="1" applyBorder="1" applyAlignment="1">
      <alignment horizontal="center"/>
    </xf>
    <xf numFmtId="0" fontId="57" fillId="8" borderId="4" xfId="0" applyFont="1" applyFill="1" applyBorder="1" applyAlignment="1">
      <alignment horizontal="center" vertical="center"/>
    </xf>
    <xf numFmtId="165" fontId="38" fillId="6" borderId="77" xfId="0" applyNumberFormat="1" applyFont="1" applyFill="1" applyBorder="1" applyAlignment="1">
      <alignment horizontal="center" vertical="center" wrapText="1"/>
    </xf>
    <xf numFmtId="165" fontId="65" fillId="8" borderId="206" xfId="1" applyNumberFormat="1" applyFont="1" applyFill="1" applyBorder="1" applyAlignment="1">
      <alignment horizontal="left" vertical="center" wrapText="1"/>
    </xf>
    <xf numFmtId="164" fontId="65" fillId="8" borderId="207" xfId="1" applyNumberFormat="1" applyFont="1" applyFill="1" applyBorder="1"/>
    <xf numFmtId="164" fontId="78" fillId="8" borderId="207" xfId="1" applyNumberFormat="1" applyFont="1" applyFill="1" applyBorder="1"/>
    <xf numFmtId="0" fontId="78" fillId="0" borderId="0" xfId="0" applyFont="1"/>
    <xf numFmtId="43" fontId="28" fillId="4" borderId="78" xfId="1" applyFont="1" applyFill="1" applyBorder="1" applyAlignment="1">
      <alignment horizontal="left" vertical="center" wrapText="1"/>
    </xf>
    <xf numFmtId="43" fontId="28" fillId="5" borderId="79" xfId="1" applyFont="1" applyFill="1" applyBorder="1" applyAlignment="1">
      <alignment horizontal="left" vertical="center" wrapText="1"/>
    </xf>
    <xf numFmtId="43" fontId="28" fillId="4" borderId="79" xfId="1" applyFont="1" applyFill="1" applyBorder="1" applyAlignment="1">
      <alignment horizontal="left" vertical="center" wrapText="1"/>
    </xf>
    <xf numFmtId="43" fontId="28" fillId="4" borderId="80" xfId="1" applyFont="1" applyFill="1" applyBorder="1" applyAlignment="1">
      <alignment horizontal="left" vertical="center" wrapText="1"/>
    </xf>
    <xf numFmtId="43" fontId="38" fillId="6" borderId="77" xfId="0" applyNumberFormat="1" applyFont="1" applyFill="1" applyBorder="1" applyAlignment="1">
      <alignment horizontal="center" vertical="center"/>
    </xf>
    <xf numFmtId="43" fontId="38" fillId="6" borderId="76" xfId="0" applyNumberFormat="1" applyFont="1" applyFill="1" applyBorder="1" applyAlignment="1">
      <alignment horizontal="center" vertical="center"/>
    </xf>
    <xf numFmtId="43" fontId="28" fillId="5" borderId="80" xfId="1" applyFont="1" applyFill="1" applyBorder="1" applyAlignment="1">
      <alignment horizontal="left" vertical="center" wrapText="1"/>
    </xf>
    <xf numFmtId="164" fontId="86" fillId="8" borderId="207" xfId="1" applyNumberFormat="1" applyFont="1" applyFill="1" applyBorder="1"/>
    <xf numFmtId="0" fontId="28" fillId="0" borderId="0" xfId="0" applyFont="1" applyProtection="1">
      <protection locked="0"/>
    </xf>
    <xf numFmtId="0" fontId="10" fillId="9" borderId="4"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2" fillId="0" borderId="51" xfId="0" applyFont="1" applyBorder="1" applyProtection="1">
      <protection locked="0"/>
    </xf>
    <xf numFmtId="0" fontId="42" fillId="0" borderId="49" xfId="0" applyFont="1" applyBorder="1" applyProtection="1">
      <protection locked="0"/>
    </xf>
    <xf numFmtId="0" fontId="43" fillId="0" borderId="3" xfId="0" applyFont="1" applyBorder="1" applyAlignment="1" applyProtection="1">
      <alignment vertical="center" wrapText="1"/>
      <protection locked="0"/>
    </xf>
    <xf numFmtId="0" fontId="42" fillId="0" borderId="13" xfId="0" applyFont="1" applyBorder="1" applyProtection="1">
      <protection locked="0"/>
    </xf>
    <xf numFmtId="0" fontId="42" fillId="0" borderId="14" xfId="0" applyFont="1" applyBorder="1" applyProtection="1">
      <protection locked="0"/>
    </xf>
    <xf numFmtId="0" fontId="58" fillId="6" borderId="4" xfId="0" applyFont="1" applyFill="1" applyBorder="1" applyAlignment="1">
      <alignment horizontal="center" vertical="center" wrapText="1"/>
    </xf>
    <xf numFmtId="170" fontId="38" fillId="7" borderId="4" xfId="0" applyNumberFormat="1" applyFont="1" applyFill="1" applyBorder="1" applyAlignment="1">
      <alignment horizontal="center" vertical="center" wrapText="1"/>
    </xf>
    <xf numFmtId="9" fontId="57" fillId="7" borderId="149" xfId="2" applyFont="1" applyFill="1" applyBorder="1" applyAlignment="1" applyProtection="1">
      <alignment horizontal="center" vertical="center" wrapText="1"/>
    </xf>
    <xf numFmtId="9" fontId="57" fillId="7" borderId="150" xfId="2" applyFont="1" applyFill="1" applyBorder="1" applyAlignment="1" applyProtection="1">
      <alignment horizontal="center" vertical="center" wrapText="1"/>
    </xf>
    <xf numFmtId="9" fontId="57" fillId="7" borderId="151" xfId="2" applyFont="1" applyFill="1" applyBorder="1" applyAlignment="1" applyProtection="1">
      <alignment horizontal="center" vertical="center" wrapText="1"/>
    </xf>
    <xf numFmtId="0" fontId="28" fillId="0" borderId="51" xfId="0" applyFont="1" applyBorder="1" applyProtection="1">
      <protection locked="0"/>
    </xf>
    <xf numFmtId="0" fontId="28" fillId="0" borderId="13" xfId="0" applyFont="1" applyBorder="1" applyProtection="1">
      <protection locked="0"/>
    </xf>
    <xf numFmtId="170" fontId="38" fillId="6" borderId="4" xfId="0" applyNumberFormat="1" applyFont="1" applyFill="1" applyBorder="1" applyAlignment="1">
      <alignment horizontal="center" vertical="center" wrapText="1"/>
    </xf>
    <xf numFmtId="9" fontId="57" fillId="6" borderId="140" xfId="2" applyFont="1" applyFill="1" applyBorder="1" applyAlignment="1" applyProtection="1">
      <alignment horizontal="center" vertical="center" wrapText="1"/>
    </xf>
    <xf numFmtId="9" fontId="46" fillId="6" borderId="89" xfId="2" applyFont="1" applyFill="1" applyBorder="1" applyAlignment="1" applyProtection="1">
      <alignment horizontal="center" vertical="center" wrapText="1"/>
    </xf>
    <xf numFmtId="9" fontId="57" fillId="6" borderId="143" xfId="2" applyFont="1" applyFill="1" applyBorder="1" applyAlignment="1" applyProtection="1">
      <alignment horizontal="center" vertical="center" wrapText="1"/>
    </xf>
    <xf numFmtId="9" fontId="46" fillId="6" borderId="11" xfId="2" applyFont="1" applyFill="1" applyBorder="1" applyAlignment="1" applyProtection="1">
      <alignment horizontal="center" vertical="center" wrapText="1"/>
    </xf>
    <xf numFmtId="9" fontId="57" fillId="6" borderId="146" xfId="2" applyFont="1" applyFill="1" applyBorder="1" applyAlignment="1" applyProtection="1">
      <alignment horizontal="center" vertical="center" wrapText="1"/>
    </xf>
    <xf numFmtId="9" fontId="46" fillId="6" borderId="88" xfId="2" applyFont="1" applyFill="1" applyBorder="1" applyAlignment="1" applyProtection="1">
      <alignment horizontal="center" vertical="center" wrapText="1"/>
    </xf>
    <xf numFmtId="9" fontId="57" fillId="6" borderId="149" xfId="2" applyFont="1" applyFill="1" applyBorder="1" applyAlignment="1" applyProtection="1">
      <alignment horizontal="center" vertical="center" wrapText="1"/>
    </xf>
    <xf numFmtId="9" fontId="57" fillId="6" borderId="150" xfId="2" applyFont="1" applyFill="1" applyBorder="1" applyAlignment="1" applyProtection="1">
      <alignment horizontal="center" vertical="center" wrapText="1"/>
    </xf>
    <xf numFmtId="9" fontId="57" fillId="6" borderId="151" xfId="2" applyFont="1" applyFill="1" applyBorder="1" applyAlignment="1" applyProtection="1">
      <alignment horizontal="center" vertical="center" wrapText="1"/>
    </xf>
    <xf numFmtId="0" fontId="58" fillId="7" borderId="4" xfId="0" applyFont="1" applyFill="1" applyBorder="1" applyAlignment="1">
      <alignment horizontal="center" vertical="center" wrapText="1"/>
    </xf>
    <xf numFmtId="0" fontId="4" fillId="9" borderId="4" xfId="0" applyFont="1" applyFill="1" applyBorder="1" applyAlignment="1" applyProtection="1">
      <alignment horizontal="center" vertical="center" wrapText="1"/>
      <protection locked="0"/>
    </xf>
    <xf numFmtId="0" fontId="42" fillId="4" borderId="51" xfId="0" applyFont="1" applyFill="1" applyBorder="1" applyProtection="1">
      <protection locked="0"/>
    </xf>
    <xf numFmtId="0" fontId="42" fillId="4" borderId="49" xfId="0" applyFont="1" applyFill="1" applyBorder="1" applyProtection="1">
      <protection locked="0"/>
    </xf>
    <xf numFmtId="43" fontId="38" fillId="4" borderId="0" xfId="1" applyFont="1" applyFill="1" applyBorder="1" applyProtection="1">
      <protection locked="0"/>
    </xf>
    <xf numFmtId="0" fontId="28" fillId="4" borderId="0" xfId="0" applyFont="1" applyFill="1" applyProtection="1">
      <protection locked="0"/>
    </xf>
    <xf numFmtId="0" fontId="42" fillId="0" borderId="106" xfId="0" applyFont="1" applyBorder="1" applyProtection="1">
      <protection locked="0"/>
    </xf>
    <xf numFmtId="0" fontId="60" fillId="7" borderId="4" xfId="0" applyFont="1" applyFill="1" applyBorder="1" applyAlignment="1">
      <alignment horizontal="center" vertical="center" wrapText="1"/>
    </xf>
    <xf numFmtId="0" fontId="60" fillId="4" borderId="0" xfId="0" applyFont="1" applyFill="1" applyAlignment="1">
      <alignment horizontal="center" vertical="center" wrapText="1"/>
    </xf>
    <xf numFmtId="0" fontId="3" fillId="8" borderId="122" xfId="0" applyFont="1" applyFill="1" applyBorder="1" applyAlignment="1">
      <alignment horizontal="center" wrapText="1"/>
    </xf>
    <xf numFmtId="0" fontId="3" fillId="8" borderId="123" xfId="0" applyFont="1" applyFill="1" applyBorder="1" applyAlignment="1">
      <alignment horizontal="center" wrapText="1"/>
    </xf>
    <xf numFmtId="0" fontId="3" fillId="8" borderId="121" xfId="0" applyFont="1" applyFill="1" applyBorder="1" applyAlignment="1">
      <alignment horizontal="center" wrapText="1"/>
    </xf>
    <xf numFmtId="9" fontId="57" fillId="6" borderId="137" xfId="2" applyFont="1" applyFill="1" applyBorder="1" applyAlignment="1" applyProtection="1">
      <alignment horizontal="center" vertical="center" wrapText="1"/>
    </xf>
    <xf numFmtId="9" fontId="57" fillId="6" borderId="138" xfId="2" applyFont="1" applyFill="1" applyBorder="1" applyAlignment="1" applyProtection="1">
      <alignment horizontal="center" vertical="center" wrapText="1"/>
    </xf>
    <xf numFmtId="9" fontId="57" fillId="6" borderId="139" xfId="2" applyFont="1" applyFill="1" applyBorder="1" applyAlignment="1" applyProtection="1">
      <alignment horizontal="center" vertical="center" wrapText="1"/>
    </xf>
    <xf numFmtId="9" fontId="57" fillId="6" borderId="6" xfId="2" applyFont="1" applyFill="1" applyBorder="1" applyAlignment="1" applyProtection="1">
      <alignment horizontal="center" vertical="center" wrapText="1"/>
    </xf>
    <xf numFmtId="9" fontId="57" fillId="6" borderId="7" xfId="2" applyFont="1" applyFill="1" applyBorder="1" applyAlignment="1" applyProtection="1">
      <alignment horizontal="center" vertical="center" wrapText="1"/>
    </xf>
    <xf numFmtId="9" fontId="57" fillId="6" borderId="3" xfId="2" applyFont="1" applyFill="1" applyBorder="1" applyAlignment="1" applyProtection="1">
      <alignment horizontal="center" vertical="center" wrapText="1"/>
    </xf>
    <xf numFmtId="9" fontId="57" fillId="6" borderId="4" xfId="2" applyFont="1" applyFill="1" applyBorder="1" applyAlignment="1" applyProtection="1">
      <alignment horizontal="center" vertical="center" wrapText="1"/>
    </xf>
    <xf numFmtId="170" fontId="38" fillId="6" borderId="40" xfId="0" applyNumberFormat="1" applyFont="1" applyFill="1" applyBorder="1" applyAlignment="1">
      <alignment horizontal="center" vertical="center" wrapText="1"/>
    </xf>
    <xf numFmtId="170" fontId="38" fillId="6" borderId="9" xfId="0" applyNumberFormat="1" applyFont="1" applyFill="1" applyBorder="1" applyAlignment="1">
      <alignment horizontal="center" vertical="center" wrapText="1"/>
    </xf>
    <xf numFmtId="0" fontId="42" fillId="9" borderId="127" xfId="0" applyFont="1" applyFill="1" applyBorder="1" applyAlignment="1" applyProtection="1">
      <alignment horizontal="left" vertical="top" wrapText="1"/>
      <protection locked="0"/>
    </xf>
    <xf numFmtId="172" fontId="56" fillId="7" borderId="11" xfId="1" applyNumberFormat="1" applyFont="1" applyFill="1" applyBorder="1" applyAlignment="1" applyProtection="1">
      <alignment vertical="center"/>
    </xf>
    <xf numFmtId="9" fontId="57" fillId="7" borderId="7" xfId="2" applyFont="1" applyFill="1" applyBorder="1" applyAlignment="1" applyProtection="1">
      <alignment horizontal="center" vertical="center" wrapText="1"/>
    </xf>
    <xf numFmtId="169" fontId="56" fillId="7" borderId="76" xfId="2" applyNumberFormat="1" applyFont="1" applyFill="1" applyBorder="1" applyAlignment="1" applyProtection="1">
      <alignment horizontal="right" vertical="center" wrapText="1"/>
    </xf>
    <xf numFmtId="172" fontId="56" fillId="7" borderId="76" xfId="1" applyNumberFormat="1" applyFont="1" applyFill="1" applyBorder="1" applyAlignment="1" applyProtection="1">
      <alignment vertical="center" wrapText="1"/>
    </xf>
    <xf numFmtId="172" fontId="56" fillId="7" borderId="92" xfId="1" applyNumberFormat="1" applyFont="1" applyFill="1" applyBorder="1" applyAlignment="1" applyProtection="1">
      <alignment horizontal="center" vertical="center"/>
    </xf>
    <xf numFmtId="9" fontId="57" fillId="7" borderId="6" xfId="2" applyFont="1" applyFill="1" applyBorder="1" applyAlignment="1" applyProtection="1">
      <alignment horizontal="center" vertical="center" wrapText="1"/>
    </xf>
    <xf numFmtId="169" fontId="56" fillId="7" borderId="87" xfId="2" applyNumberFormat="1" applyFont="1" applyFill="1" applyBorder="1" applyAlignment="1" applyProtection="1">
      <alignment horizontal="right" vertical="center" wrapText="1"/>
    </xf>
    <xf numFmtId="172" fontId="56" fillId="7" borderId="87" xfId="1" applyNumberFormat="1" applyFont="1" applyFill="1" applyBorder="1" applyAlignment="1" applyProtection="1">
      <alignment horizontal="center" vertical="center" wrapText="1"/>
    </xf>
    <xf numFmtId="172" fontId="56" fillId="7" borderId="93" xfId="1" applyNumberFormat="1" applyFont="1" applyFill="1" applyBorder="1" applyAlignment="1" applyProtection="1">
      <alignment horizontal="center" vertical="center"/>
    </xf>
    <xf numFmtId="172" fontId="56" fillId="7" borderId="94" xfId="1" applyNumberFormat="1" applyFont="1" applyFill="1" applyBorder="1" applyAlignment="1" applyProtection="1">
      <alignment horizontal="center" vertical="center"/>
    </xf>
    <xf numFmtId="9" fontId="57" fillId="7" borderId="3" xfId="2" applyFont="1" applyFill="1" applyBorder="1" applyAlignment="1" applyProtection="1">
      <alignment horizontal="center" vertical="center" wrapText="1"/>
    </xf>
    <xf numFmtId="169" fontId="56" fillId="7" borderId="71" xfId="2" applyNumberFormat="1" applyFont="1" applyFill="1" applyBorder="1" applyAlignment="1" applyProtection="1">
      <alignment horizontal="right" vertical="center"/>
    </xf>
    <xf numFmtId="172" fontId="56" fillId="7" borderId="71" xfId="1" applyNumberFormat="1" applyFont="1" applyFill="1" applyBorder="1" applyAlignment="1" applyProtection="1">
      <alignment horizontal="center" vertical="center"/>
    </xf>
    <xf numFmtId="0" fontId="49" fillId="3" borderId="166" xfId="0" applyFont="1" applyFill="1" applyBorder="1" applyAlignment="1">
      <alignment horizontal="left" vertical="center" wrapText="1"/>
    </xf>
    <xf numFmtId="0" fontId="51" fillId="3" borderId="166" xfId="0" applyFont="1" applyFill="1" applyBorder="1" applyAlignment="1">
      <alignment horizontal="center" vertical="center" wrapText="1"/>
    </xf>
    <xf numFmtId="0" fontId="49" fillId="3" borderId="172" xfId="0" applyFont="1" applyFill="1" applyBorder="1" applyAlignment="1">
      <alignment horizontal="left" vertical="center" wrapText="1"/>
    </xf>
    <xf numFmtId="0" fontId="51" fillId="3" borderId="172" xfId="0" applyFont="1" applyFill="1" applyBorder="1" applyAlignment="1">
      <alignment horizontal="center" vertical="center" wrapText="1"/>
    </xf>
    <xf numFmtId="0" fontId="49" fillId="3" borderId="169" xfId="0" applyFont="1" applyFill="1" applyBorder="1" applyAlignment="1">
      <alignment horizontal="left" vertical="center" wrapText="1"/>
    </xf>
    <xf numFmtId="0" fontId="51" fillId="3" borderId="166" xfId="0" applyFont="1" applyFill="1" applyBorder="1" applyAlignment="1">
      <alignment horizontal="left" vertical="center" wrapText="1"/>
    </xf>
    <xf numFmtId="0" fontId="51" fillId="3" borderId="169" xfId="0" applyFont="1" applyFill="1" applyBorder="1" applyAlignment="1">
      <alignment horizontal="left" vertical="center" wrapText="1"/>
    </xf>
    <xf numFmtId="0" fontId="51" fillId="3" borderId="172" xfId="0" applyFont="1" applyFill="1" applyBorder="1" applyAlignment="1">
      <alignment horizontal="left" vertical="center" wrapText="1"/>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wrapText="1"/>
      <protection locked="0"/>
    </xf>
    <xf numFmtId="43" fontId="4" fillId="0" borderId="13" xfId="1" applyFont="1" applyBorder="1" applyAlignment="1" applyProtection="1">
      <alignment wrapText="1"/>
      <protection locked="0"/>
    </xf>
    <xf numFmtId="0" fontId="0" fillId="0" borderId="0" xfId="0" applyProtection="1">
      <protection locked="0"/>
    </xf>
    <xf numFmtId="0" fontId="4" fillId="0" borderId="13" xfId="0" applyFont="1" applyBorder="1" applyAlignment="1" applyProtection="1">
      <alignment horizontal="center" wrapText="1"/>
      <protection locked="0"/>
    </xf>
    <xf numFmtId="0" fontId="4" fillId="0" borderId="0" xfId="0" applyFont="1" applyAlignment="1" applyProtection="1">
      <alignment horizontal="center" vertical="center" wrapText="1"/>
      <protection locked="0"/>
    </xf>
    <xf numFmtId="0" fontId="4" fillId="9" borderId="210" xfId="0" applyFont="1" applyFill="1" applyBorder="1" applyAlignment="1" applyProtection="1">
      <alignment horizontal="center" vertical="center" wrapText="1"/>
      <protection locked="0"/>
    </xf>
    <xf numFmtId="165" fontId="4" fillId="9" borderId="51" xfId="1" applyNumberFormat="1" applyFont="1" applyFill="1" applyBorder="1" applyAlignment="1" applyProtection="1">
      <alignment horizontal="center" vertical="center" wrapText="1"/>
      <protection locked="0"/>
    </xf>
    <xf numFmtId="0" fontId="4" fillId="9" borderId="51" xfId="0" applyFont="1" applyFill="1" applyBorder="1" applyAlignment="1" applyProtection="1">
      <alignment horizontal="center" vertical="center" wrapText="1"/>
      <protection locked="0"/>
    </xf>
    <xf numFmtId="20" fontId="4" fillId="9" borderId="51" xfId="0" applyNumberFormat="1" applyFont="1" applyFill="1" applyBorder="1" applyAlignment="1" applyProtection="1">
      <alignment horizontal="center" vertical="center" wrapText="1"/>
      <protection locked="0"/>
    </xf>
    <xf numFmtId="174" fontId="4" fillId="9" borderId="51" xfId="0" applyNumberFormat="1" applyFont="1" applyFill="1" applyBorder="1" applyAlignment="1" applyProtection="1">
      <alignment horizontal="center" vertical="center" wrapText="1"/>
      <protection locked="0"/>
    </xf>
    <xf numFmtId="0" fontId="4" fillId="0" borderId="62" xfId="0" applyFont="1" applyBorder="1" applyAlignment="1" applyProtection="1">
      <alignment wrapText="1"/>
      <protection locked="0"/>
    </xf>
    <xf numFmtId="0" fontId="4" fillId="0" borderId="62" xfId="0" applyFont="1" applyBorder="1" applyAlignment="1" applyProtection="1">
      <alignment horizontal="center" wrapText="1"/>
      <protection locked="0"/>
    </xf>
    <xf numFmtId="0" fontId="4" fillId="0" borderId="106" xfId="0" applyFont="1" applyBorder="1" applyAlignment="1" applyProtection="1">
      <alignment wrapText="1"/>
      <protection locked="0"/>
    </xf>
    <xf numFmtId="0" fontId="4" fillId="0" borderId="106" xfId="0" applyFont="1" applyBorder="1" applyAlignment="1" applyProtection="1">
      <alignment horizontal="center" wrapText="1"/>
      <protection locked="0"/>
    </xf>
    <xf numFmtId="0" fontId="4" fillId="0" borderId="51" xfId="0" applyFont="1" applyBorder="1" applyAlignment="1" applyProtection="1">
      <alignment horizontal="center" vertical="center" wrapText="1"/>
      <protection locked="0"/>
    </xf>
    <xf numFmtId="0" fontId="4" fillId="0" borderId="51" xfId="0" applyFont="1" applyBorder="1" applyAlignment="1" applyProtection="1">
      <alignment wrapText="1"/>
      <protection locked="0"/>
    </xf>
    <xf numFmtId="0" fontId="4" fillId="0" borderId="51" xfId="0" applyFont="1" applyBorder="1" applyAlignment="1" applyProtection="1">
      <alignment horizontal="center" wrapText="1"/>
      <protection locked="0"/>
    </xf>
    <xf numFmtId="43" fontId="4" fillId="0" borderId="51" xfId="1" applyFont="1" applyBorder="1" applyAlignment="1" applyProtection="1">
      <alignment wrapText="1"/>
      <protection locked="0"/>
    </xf>
    <xf numFmtId="165" fontId="4" fillId="5" borderId="51" xfId="1" applyNumberFormat="1" applyFont="1" applyFill="1" applyBorder="1" applyAlignment="1" applyProtection="1">
      <alignment horizontal="center" vertical="center" wrapText="1"/>
    </xf>
    <xf numFmtId="0" fontId="4" fillId="5" borderId="51" xfId="0" applyFont="1" applyFill="1" applyBorder="1" applyAlignment="1">
      <alignment horizontal="center" vertical="center" wrapText="1"/>
    </xf>
    <xf numFmtId="0" fontId="31" fillId="8" borderId="190" xfId="0" applyFont="1" applyFill="1" applyBorder="1" applyAlignment="1">
      <alignment horizontal="center"/>
    </xf>
    <xf numFmtId="0" fontId="31" fillId="8" borderId="189" xfId="0" applyFont="1" applyFill="1" applyBorder="1" applyAlignment="1">
      <alignment horizontal="center"/>
    </xf>
    <xf numFmtId="0" fontId="87" fillId="8" borderId="189" xfId="0" applyFont="1" applyFill="1" applyBorder="1"/>
    <xf numFmtId="0" fontId="86" fillId="8" borderId="189" xfId="0" applyFont="1" applyFill="1" applyBorder="1" applyAlignment="1">
      <alignment horizontal="center"/>
    </xf>
    <xf numFmtId="0" fontId="31" fillId="8" borderId="214" xfId="0" applyFont="1" applyFill="1" applyBorder="1" applyAlignment="1">
      <alignment horizontal="center"/>
    </xf>
    <xf numFmtId="0" fontId="31" fillId="6" borderId="211" xfId="0" applyFont="1" applyFill="1" applyBorder="1" applyAlignment="1">
      <alignment horizontal="center" vertical="center"/>
    </xf>
    <xf numFmtId="0" fontId="31" fillId="6" borderId="212" xfId="0" applyFont="1" applyFill="1" applyBorder="1" applyAlignment="1">
      <alignment horizontal="center" vertical="center" wrapText="1"/>
    </xf>
    <xf numFmtId="0" fontId="31" fillId="6" borderId="212" xfId="0" applyFont="1" applyFill="1" applyBorder="1" applyAlignment="1">
      <alignment horizontal="center" vertical="center"/>
    </xf>
    <xf numFmtId="167" fontId="85" fillId="6" borderId="212" xfId="1" applyNumberFormat="1" applyFont="1" applyFill="1" applyBorder="1" applyAlignment="1" applyProtection="1">
      <alignment horizontal="center" vertical="center"/>
    </xf>
    <xf numFmtId="167" fontId="31" fillId="6" borderId="213" xfId="1" applyNumberFormat="1" applyFont="1" applyFill="1" applyBorder="1" applyAlignment="1" applyProtection="1">
      <alignment horizontal="center" vertical="center"/>
    </xf>
    <xf numFmtId="0" fontId="0" fillId="4" borderId="0" xfId="0" applyFill="1" applyAlignment="1">
      <alignment horizontal="center" vertical="center"/>
    </xf>
    <xf numFmtId="0" fontId="31" fillId="6" borderId="190" xfId="0" applyFont="1" applyFill="1" applyBorder="1" applyAlignment="1">
      <alignment horizontal="center" vertical="center"/>
    </xf>
    <xf numFmtId="0" fontId="31" fillId="6" borderId="189" xfId="0" applyFont="1" applyFill="1" applyBorder="1" applyAlignment="1">
      <alignment horizontal="center" vertical="center" wrapText="1"/>
    </xf>
    <xf numFmtId="0" fontId="31" fillId="6" borderId="189" xfId="0" applyFont="1" applyFill="1" applyBorder="1" applyAlignment="1">
      <alignment horizontal="center" vertical="center"/>
    </xf>
    <xf numFmtId="167" fontId="85" fillId="6" borderId="189" xfId="1" applyNumberFormat="1" applyFont="1" applyFill="1" applyBorder="1" applyAlignment="1" applyProtection="1">
      <alignment horizontal="center" vertical="center"/>
    </xf>
    <xf numFmtId="167" fontId="31" fillId="6" borderId="214" xfId="1" applyNumberFormat="1" applyFont="1" applyFill="1" applyBorder="1" applyAlignment="1" applyProtection="1">
      <alignment horizontal="center" vertical="center"/>
    </xf>
    <xf numFmtId="168" fontId="36" fillId="9" borderId="196" xfId="2" applyNumberFormat="1" applyFont="1" applyFill="1" applyBorder="1" applyAlignment="1" applyProtection="1">
      <alignment horizontal="center"/>
      <protection locked="0"/>
    </xf>
    <xf numFmtId="168" fontId="36" fillId="9" borderId="194" xfId="2" applyNumberFormat="1" applyFont="1" applyFill="1" applyBorder="1" applyAlignment="1" applyProtection="1">
      <alignment horizontal="center"/>
      <protection locked="0"/>
    </xf>
    <xf numFmtId="164" fontId="25" fillId="0" borderId="0" xfId="0" applyNumberFormat="1" applyFont="1" applyProtection="1">
      <protection locked="0"/>
    </xf>
    <xf numFmtId="0" fontId="30" fillId="0" borderId="0" xfId="0" applyFont="1" applyProtection="1">
      <protection locked="0"/>
    </xf>
    <xf numFmtId="164" fontId="2" fillId="9" borderId="208" xfId="1" applyNumberFormat="1" applyFont="1" applyFill="1" applyBorder="1" applyAlignment="1" applyProtection="1">
      <alignment vertical="center"/>
      <protection locked="0"/>
    </xf>
    <xf numFmtId="0" fontId="32" fillId="0" borderId="0" xfId="0" applyFont="1" applyProtection="1">
      <protection locked="0"/>
    </xf>
    <xf numFmtId="164" fontId="4" fillId="0" borderId="0" xfId="0" applyNumberFormat="1" applyFont="1" applyProtection="1">
      <protection locked="0"/>
    </xf>
    <xf numFmtId="0" fontId="4" fillId="0" borderId="0" xfId="0" applyFont="1" applyProtection="1">
      <protection locked="0"/>
    </xf>
    <xf numFmtId="165" fontId="67" fillId="4" borderId="200" xfId="1" applyNumberFormat="1" applyFont="1" applyFill="1" applyBorder="1" applyAlignment="1" applyProtection="1">
      <alignment horizontal="left" vertical="center" wrapText="1"/>
    </xf>
    <xf numFmtId="164" fontId="67" fillId="4" borderId="78" xfId="1" applyNumberFormat="1" applyFont="1" applyFill="1" applyBorder="1" applyAlignment="1" applyProtection="1">
      <alignment horizontal="left" vertical="center" wrapText="1"/>
    </xf>
    <xf numFmtId="165" fontId="67" fillId="5" borderId="201" xfId="1" applyNumberFormat="1" applyFont="1" applyFill="1" applyBorder="1" applyAlignment="1" applyProtection="1">
      <alignment horizontal="left" vertical="center" wrapText="1"/>
    </xf>
    <xf numFmtId="164" fontId="67" fillId="5" borderId="79" xfId="1" applyNumberFormat="1" applyFont="1" applyFill="1" applyBorder="1" applyAlignment="1" applyProtection="1">
      <alignment horizontal="left" vertical="center" wrapText="1"/>
    </xf>
    <xf numFmtId="165" fontId="67" fillId="4" borderId="201" xfId="1" applyNumberFormat="1" applyFont="1" applyFill="1" applyBorder="1" applyAlignment="1" applyProtection="1">
      <alignment horizontal="left" vertical="center" wrapText="1"/>
    </xf>
    <xf numFmtId="164" fontId="67" fillId="4" borderId="79" xfId="1" applyNumberFormat="1" applyFont="1" applyFill="1" applyBorder="1" applyAlignment="1" applyProtection="1">
      <alignment horizontal="left" vertical="center" wrapText="1"/>
    </xf>
    <xf numFmtId="165" fontId="67" fillId="4" borderId="202" xfId="1" applyNumberFormat="1" applyFont="1" applyFill="1" applyBorder="1" applyAlignment="1" applyProtection="1">
      <alignment horizontal="left" vertical="center" wrapText="1"/>
    </xf>
    <xf numFmtId="164" fontId="67" fillId="4" borderId="80" xfId="1" applyNumberFormat="1" applyFont="1" applyFill="1" applyBorder="1" applyAlignment="1" applyProtection="1">
      <alignment horizontal="left" vertical="center" wrapText="1"/>
    </xf>
    <xf numFmtId="165" fontId="67" fillId="5" borderId="204" xfId="1" applyNumberFormat="1" applyFont="1" applyFill="1" applyBorder="1" applyAlignment="1" applyProtection="1">
      <alignment horizontal="left" vertical="center" wrapText="1"/>
    </xf>
    <xf numFmtId="164" fontId="67" fillId="5" borderId="205" xfId="1" applyNumberFormat="1" applyFont="1" applyFill="1" applyBorder="1" applyAlignment="1" applyProtection="1">
      <alignment horizontal="left" vertical="center" wrapText="1"/>
    </xf>
    <xf numFmtId="165" fontId="9" fillId="8" borderId="206" xfId="1" applyNumberFormat="1" applyFont="1" applyFill="1" applyBorder="1" applyAlignment="1" applyProtection="1">
      <alignment horizontal="left" vertical="center" wrapText="1"/>
    </xf>
    <xf numFmtId="164" fontId="9" fillId="8" borderId="207" xfId="1" applyNumberFormat="1" applyFont="1" applyFill="1" applyBorder="1" applyProtection="1"/>
    <xf numFmtId="165" fontId="67" fillId="4" borderId="89" xfId="1" applyNumberFormat="1" applyFont="1" applyFill="1" applyBorder="1" applyAlignment="1" applyProtection="1">
      <alignment horizontal="left" vertical="center" wrapText="1"/>
    </xf>
    <xf numFmtId="165" fontId="9" fillId="8" borderId="88" xfId="1" applyNumberFormat="1" applyFont="1" applyFill="1" applyBorder="1" applyAlignment="1" applyProtection="1">
      <alignment horizontal="left" vertical="center" wrapText="1"/>
    </xf>
    <xf numFmtId="165" fontId="9" fillId="8" borderId="25" xfId="1" applyNumberFormat="1" applyFont="1" applyFill="1" applyBorder="1" applyAlignment="1" applyProtection="1">
      <alignment horizontal="left" vertical="center" wrapText="1"/>
    </xf>
    <xf numFmtId="164" fontId="9" fillId="8" borderId="81" xfId="1" applyNumberFormat="1" applyFont="1" applyFill="1" applyBorder="1" applyProtection="1"/>
    <xf numFmtId="168" fontId="9" fillId="6" borderId="4" xfId="2" applyNumberFormat="1" applyFont="1" applyFill="1" applyBorder="1" applyAlignment="1" applyProtection="1">
      <alignment horizontal="center" vertical="center" wrapText="1"/>
    </xf>
    <xf numFmtId="168" fontId="36" fillId="4" borderId="191" xfId="2" applyNumberFormat="1" applyFont="1" applyFill="1" applyBorder="1" applyAlignment="1" applyProtection="1">
      <alignment horizontal="center" vertical="center"/>
    </xf>
    <xf numFmtId="168" fontId="36" fillId="5" borderId="193" xfId="2" applyNumberFormat="1" applyFont="1" applyFill="1" applyBorder="1" applyAlignment="1" applyProtection="1">
      <alignment horizontal="center" vertical="center"/>
    </xf>
    <xf numFmtId="168" fontId="36" fillId="4" borderId="193" xfId="2" applyNumberFormat="1" applyFont="1" applyFill="1" applyBorder="1" applyAlignment="1" applyProtection="1">
      <alignment horizontal="center" vertical="center"/>
    </xf>
    <xf numFmtId="168" fontId="36" fillId="4" borderId="195" xfId="2" applyNumberFormat="1" applyFont="1" applyFill="1" applyBorder="1" applyAlignment="1" applyProtection="1">
      <alignment horizontal="center" vertical="center"/>
    </xf>
    <xf numFmtId="168" fontId="68" fillId="4" borderId="193" xfId="2" applyNumberFormat="1" applyFont="1" applyFill="1" applyBorder="1" applyAlignment="1" applyProtection="1">
      <alignment horizontal="center" vertical="center"/>
    </xf>
    <xf numFmtId="168" fontId="36" fillId="5" borderId="195" xfId="2" applyNumberFormat="1" applyFont="1" applyFill="1" applyBorder="1" applyAlignment="1" applyProtection="1">
      <alignment horizontal="center" vertical="center"/>
    </xf>
    <xf numFmtId="168" fontId="9" fillId="6" borderId="9" xfId="2" applyNumberFormat="1" applyFont="1" applyFill="1" applyBorder="1" applyAlignment="1" applyProtection="1">
      <alignment vertical="center" wrapText="1"/>
    </xf>
    <xf numFmtId="168" fontId="36" fillId="4" borderId="192" xfId="2" applyNumberFormat="1" applyFont="1" applyFill="1" applyBorder="1" applyAlignment="1" applyProtection="1">
      <alignment horizontal="center"/>
    </xf>
    <xf numFmtId="168" fontId="36" fillId="5" borderId="194" xfId="2" applyNumberFormat="1" applyFont="1" applyFill="1" applyBorder="1" applyAlignment="1" applyProtection="1">
      <alignment horizontal="center"/>
    </xf>
    <xf numFmtId="168" fontId="36" fillId="4" borderId="194" xfId="2" applyNumberFormat="1" applyFont="1" applyFill="1" applyBorder="1" applyAlignment="1" applyProtection="1">
      <alignment horizontal="center"/>
    </xf>
    <xf numFmtId="168" fontId="36" fillId="4" borderId="197" xfId="2" applyNumberFormat="1" applyFont="1" applyFill="1" applyBorder="1" applyAlignment="1" applyProtection="1">
      <alignment horizontal="center"/>
    </xf>
    <xf numFmtId="168" fontId="36" fillId="5" borderId="197" xfId="2" applyNumberFormat="1" applyFont="1" applyFill="1" applyBorder="1" applyAlignment="1" applyProtection="1">
      <alignment horizontal="center"/>
    </xf>
    <xf numFmtId="9" fontId="69" fillId="4" borderId="4" xfId="2" applyFont="1" applyFill="1" applyBorder="1" applyAlignment="1" applyProtection="1">
      <alignment horizontal="center" vertical="center"/>
    </xf>
    <xf numFmtId="0" fontId="22" fillId="8" borderId="6" xfId="0" applyFont="1" applyFill="1" applyBorder="1" applyAlignment="1">
      <alignment horizontal="center" vertical="center"/>
    </xf>
    <xf numFmtId="0" fontId="70" fillId="0" borderId="4" xfId="0" applyFont="1" applyBorder="1" applyAlignment="1">
      <alignment horizontal="center" vertical="center" wrapText="1"/>
    </xf>
    <xf numFmtId="0" fontId="70" fillId="0" borderId="0" xfId="0" applyFont="1" applyAlignment="1">
      <alignment horizontal="center" vertical="center" wrapText="1"/>
    </xf>
    <xf numFmtId="0" fontId="70" fillId="0" borderId="3" xfId="0" applyFont="1" applyBorder="1" applyAlignment="1">
      <alignment horizontal="center" vertical="center" wrapText="1"/>
    </xf>
    <xf numFmtId="0" fontId="70" fillId="0" borderId="7" xfId="0" applyFont="1" applyBorder="1" applyAlignment="1">
      <alignment horizontal="center" vertical="center"/>
    </xf>
    <xf numFmtId="0" fontId="70" fillId="0" borderId="3" xfId="0" applyFont="1" applyBorder="1" applyAlignment="1">
      <alignment horizontal="center" vertical="center"/>
    </xf>
    <xf numFmtId="0" fontId="22" fillId="8" borderId="7" xfId="0" applyFont="1" applyFill="1" applyBorder="1" applyAlignment="1">
      <alignment horizontal="center" vertical="center"/>
    </xf>
    <xf numFmtId="0" fontId="4" fillId="0" borderId="61" xfId="0" applyFont="1" applyBorder="1" applyAlignment="1" applyProtection="1">
      <alignment wrapText="1"/>
      <protection locked="0"/>
    </xf>
    <xf numFmtId="0" fontId="4" fillId="0" borderId="61" xfId="0" applyFont="1" applyBorder="1" applyAlignment="1" applyProtection="1">
      <alignment horizontal="center" wrapText="1"/>
      <protection locked="0"/>
    </xf>
    <xf numFmtId="0" fontId="4" fillId="9" borderId="219" xfId="0" applyFont="1" applyFill="1" applyBorder="1" applyAlignment="1" applyProtection="1">
      <alignment horizontal="center" vertical="center" wrapText="1"/>
      <protection locked="0"/>
    </xf>
    <xf numFmtId="0" fontId="4" fillId="9" borderId="220" xfId="0" applyFont="1" applyFill="1" applyBorder="1" applyAlignment="1" applyProtection="1">
      <alignment horizontal="center" vertical="center" wrapText="1"/>
      <protection locked="0"/>
    </xf>
    <xf numFmtId="0" fontId="4" fillId="5" borderId="220"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18"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53" fillId="8" borderId="222" xfId="0" applyFont="1" applyFill="1" applyBorder="1" applyAlignment="1">
      <alignment horizontal="center" vertical="center" wrapText="1"/>
    </xf>
    <xf numFmtId="0" fontId="53" fillId="8" borderId="223" xfId="0" applyFont="1" applyFill="1" applyBorder="1" applyAlignment="1">
      <alignment horizontal="center" vertical="center" wrapText="1"/>
    </xf>
    <xf numFmtId="43" fontId="53" fillId="8" borderId="224" xfId="1" applyFont="1" applyFill="1" applyBorder="1" applyAlignment="1" applyProtection="1">
      <alignment horizontal="center" vertical="center" wrapText="1"/>
    </xf>
    <xf numFmtId="0" fontId="53" fillId="8" borderId="224" xfId="0" applyFont="1" applyFill="1" applyBorder="1" applyAlignment="1">
      <alignment horizontal="center" vertical="center" wrapText="1"/>
    </xf>
    <xf numFmtId="0" fontId="53" fillId="8" borderId="225"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9" borderId="226" xfId="0" applyFont="1" applyFill="1" applyBorder="1" applyAlignment="1" applyProtection="1">
      <alignment horizontal="center" vertical="center" wrapText="1"/>
      <protection locked="0"/>
    </xf>
    <xf numFmtId="165" fontId="4" fillId="9" borderId="227" xfId="1" applyNumberFormat="1" applyFont="1" applyFill="1" applyBorder="1" applyAlignment="1" applyProtection="1">
      <alignment horizontal="center" vertical="center" wrapText="1"/>
      <protection locked="0"/>
    </xf>
    <xf numFmtId="165" fontId="4" fillId="5" borderId="227" xfId="1" applyNumberFormat="1" applyFont="1" applyFill="1" applyBorder="1" applyAlignment="1" applyProtection="1">
      <alignment horizontal="center" vertical="center" wrapText="1"/>
    </xf>
    <xf numFmtId="0" fontId="4" fillId="9" borderId="227" xfId="0" applyFont="1" applyFill="1" applyBorder="1" applyAlignment="1" applyProtection="1">
      <alignment horizontal="center" vertical="center" wrapText="1"/>
      <protection locked="0"/>
    </xf>
    <xf numFmtId="0" fontId="4" fillId="9" borderId="228" xfId="0" applyFont="1" applyFill="1" applyBorder="1" applyAlignment="1" applyProtection="1">
      <alignment horizontal="center" vertical="center" wrapText="1"/>
      <protection locked="0"/>
    </xf>
    <xf numFmtId="0" fontId="4" fillId="9" borderId="217" xfId="0" applyFont="1" applyFill="1" applyBorder="1" applyAlignment="1" applyProtection="1">
      <alignment horizontal="center" vertical="center" wrapText="1"/>
      <protection locked="0"/>
    </xf>
    <xf numFmtId="0" fontId="4" fillId="9" borderId="221" xfId="0" applyFont="1" applyFill="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106" xfId="0" applyFont="1" applyBorder="1" applyAlignment="1">
      <alignment horizontal="center" vertical="center" wrapText="1"/>
    </xf>
    <xf numFmtId="0" fontId="4" fillId="0" borderId="51" xfId="0" applyFont="1" applyBorder="1" applyAlignment="1">
      <alignment horizontal="center" vertical="center" wrapText="1"/>
    </xf>
    <xf numFmtId="43" fontId="4" fillId="0" borderId="13" xfId="1" applyFont="1" applyBorder="1" applyAlignment="1" applyProtection="1">
      <alignment wrapText="1"/>
    </xf>
    <xf numFmtId="0" fontId="4" fillId="0" borderId="61" xfId="0" applyFont="1" applyBorder="1" applyAlignment="1">
      <alignment wrapText="1"/>
    </xf>
    <xf numFmtId="0" fontId="4" fillId="0" borderId="62" xfId="0" applyFont="1" applyBorder="1" applyAlignment="1">
      <alignment wrapText="1"/>
    </xf>
    <xf numFmtId="0" fontId="4" fillId="0" borderId="106" xfId="0" applyFont="1" applyBorder="1" applyAlignment="1">
      <alignment wrapText="1"/>
    </xf>
    <xf numFmtId="0" fontId="4" fillId="0" borderId="51" xfId="0" applyFont="1" applyBorder="1" applyAlignment="1">
      <alignment wrapText="1"/>
    </xf>
    <xf numFmtId="43" fontId="4" fillId="0" borderId="51" xfId="1" applyFont="1" applyBorder="1" applyAlignment="1" applyProtection="1">
      <alignment wrapText="1"/>
    </xf>
    <xf numFmtId="0" fontId="26" fillId="3" borderId="177" xfId="0" applyFont="1" applyFill="1" applyBorder="1" applyAlignment="1">
      <alignment horizontal="left" vertical="center" wrapText="1"/>
    </xf>
    <xf numFmtId="0" fontId="26" fillId="3" borderId="178" xfId="0" applyFont="1" applyFill="1" applyBorder="1" applyAlignment="1">
      <alignment horizontal="left" vertical="center" wrapText="1"/>
    </xf>
    <xf numFmtId="0" fontId="26" fillId="3" borderId="179" xfId="0" applyFont="1" applyFill="1" applyBorder="1" applyAlignment="1">
      <alignment horizontal="left" vertical="center" wrapText="1"/>
    </xf>
    <xf numFmtId="0" fontId="26" fillId="3" borderId="181" xfId="0" applyFont="1" applyFill="1" applyBorder="1" applyAlignment="1">
      <alignment horizontal="left" vertical="center" wrapText="1"/>
    </xf>
    <xf numFmtId="165" fontId="26" fillId="9" borderId="6" xfId="1" applyNumberFormat="1" applyFont="1" applyFill="1" applyBorder="1" applyAlignment="1" applyProtection="1">
      <alignment horizontal="center" vertical="center" wrapText="1"/>
      <protection locked="0"/>
    </xf>
    <xf numFmtId="165" fontId="26" fillId="9" borderId="3" xfId="1" applyNumberFormat="1" applyFont="1" applyFill="1" applyBorder="1" applyAlignment="1" applyProtection="1">
      <alignment horizontal="center" vertical="center" wrapText="1"/>
      <protection locked="0"/>
    </xf>
    <xf numFmtId="172" fontId="56" fillId="6" borderId="6" xfId="1" applyNumberFormat="1" applyFont="1" applyFill="1" applyBorder="1" applyAlignment="1" applyProtection="1">
      <alignment horizontal="center" vertical="center"/>
    </xf>
    <xf numFmtId="0" fontId="27" fillId="3" borderId="179" xfId="0" applyFont="1" applyFill="1" applyBorder="1" applyAlignment="1">
      <alignment horizontal="left" vertical="center" wrapText="1"/>
    </xf>
    <xf numFmtId="0" fontId="27" fillId="3" borderId="180" xfId="0" applyFont="1" applyFill="1" applyBorder="1" applyAlignment="1">
      <alignment horizontal="center" vertical="center" wrapText="1"/>
    </xf>
    <xf numFmtId="0" fontId="27" fillId="3" borderId="177" xfId="0" applyFont="1" applyFill="1" applyBorder="1" applyAlignment="1">
      <alignment horizontal="left" vertical="center" wrapText="1"/>
    </xf>
    <xf numFmtId="0" fontId="27" fillId="3" borderId="229" xfId="0" applyFont="1" applyFill="1" applyBorder="1" applyAlignment="1">
      <alignment horizontal="center" vertical="center" wrapText="1"/>
    </xf>
    <xf numFmtId="0" fontId="27" fillId="3" borderId="179" xfId="0" applyFont="1" applyFill="1" applyBorder="1" applyAlignment="1">
      <alignment vertical="center" wrapText="1"/>
    </xf>
    <xf numFmtId="0" fontId="27" fillId="3" borderId="177" xfId="0" applyFont="1" applyFill="1" applyBorder="1" applyAlignment="1">
      <alignment vertical="center" wrapText="1"/>
    </xf>
    <xf numFmtId="0" fontId="26" fillId="3" borderId="231" xfId="0" applyFont="1" applyFill="1" applyBorder="1" applyAlignment="1">
      <alignment horizontal="left" vertical="center" wrapText="1"/>
    </xf>
    <xf numFmtId="0" fontId="27" fillId="3" borderId="232" xfId="0" applyFont="1" applyFill="1" applyBorder="1" applyAlignment="1">
      <alignment horizontal="center" vertical="center" wrapText="1"/>
    </xf>
    <xf numFmtId="172" fontId="56" fillId="6" borderId="58" xfId="1" applyNumberFormat="1" applyFont="1" applyFill="1" applyBorder="1" applyAlignment="1" applyProtection="1">
      <alignment vertical="center"/>
    </xf>
    <xf numFmtId="172" fontId="56" fillId="6" borderId="85" xfId="1" applyNumberFormat="1" applyFont="1" applyFill="1" applyBorder="1" applyAlignment="1" applyProtection="1">
      <alignment vertical="center"/>
    </xf>
    <xf numFmtId="172" fontId="56" fillId="6" borderId="3" xfId="1" applyNumberFormat="1" applyFont="1" applyFill="1" applyBorder="1" applyAlignment="1" applyProtection="1">
      <alignment vertical="center"/>
    </xf>
    <xf numFmtId="169" fontId="56" fillId="6" borderId="58" xfId="2" applyNumberFormat="1" applyFont="1" applyFill="1" applyBorder="1" applyAlignment="1" applyProtection="1">
      <alignment vertical="center" wrapText="1"/>
    </xf>
    <xf numFmtId="169" fontId="56" fillId="6" borderId="83" xfId="2" applyNumberFormat="1" applyFont="1" applyFill="1" applyBorder="1" applyAlignment="1" applyProtection="1">
      <alignment horizontal="right" vertical="center" wrapText="1"/>
    </xf>
    <xf numFmtId="169" fontId="56" fillId="6" borderId="69" xfId="2" applyNumberFormat="1" applyFont="1" applyFill="1" applyBorder="1" applyAlignment="1" applyProtection="1">
      <alignment horizontal="right" vertical="center" wrapText="1"/>
    </xf>
    <xf numFmtId="172" fontId="56" fillId="6" borderId="83" xfId="1" applyNumberFormat="1" applyFont="1" applyFill="1" applyBorder="1" applyAlignment="1" applyProtection="1">
      <alignment horizontal="center" vertical="center"/>
    </xf>
    <xf numFmtId="172" fontId="56" fillId="6" borderId="69" xfId="1" applyNumberFormat="1" applyFont="1" applyFill="1" applyBorder="1" applyAlignment="1" applyProtection="1">
      <alignment horizontal="center" vertical="center"/>
    </xf>
    <xf numFmtId="169" fontId="56" fillId="6" borderId="6" xfId="2" applyNumberFormat="1" applyFont="1" applyFill="1" applyBorder="1" applyAlignment="1" applyProtection="1">
      <alignment horizontal="right" vertical="center" wrapText="1"/>
    </xf>
    <xf numFmtId="0" fontId="27" fillId="3" borderId="233" xfId="0" applyFont="1" applyFill="1" applyBorder="1" applyAlignment="1">
      <alignment horizontal="center" vertical="center" wrapText="1"/>
    </xf>
    <xf numFmtId="0" fontId="27" fillId="3" borderId="181" xfId="0" applyFont="1" applyFill="1" applyBorder="1" applyAlignment="1">
      <alignment horizontal="left" vertical="center" wrapText="1"/>
    </xf>
    <xf numFmtId="172" fontId="56" fillId="6" borderId="234" xfId="1" applyNumberFormat="1" applyFont="1" applyFill="1" applyBorder="1" applyAlignment="1" applyProtection="1">
      <alignment horizontal="center" vertical="center"/>
    </xf>
    <xf numFmtId="172" fontId="56" fillId="6" borderId="235" xfId="1" applyNumberFormat="1" applyFont="1" applyFill="1" applyBorder="1" applyAlignment="1" applyProtection="1">
      <alignment horizontal="center" vertical="center"/>
    </xf>
    <xf numFmtId="172" fontId="56" fillId="6" borderId="236" xfId="1" applyNumberFormat="1" applyFont="1" applyFill="1" applyBorder="1" applyAlignment="1" applyProtection="1">
      <alignment horizontal="center" vertical="center"/>
    </xf>
    <xf numFmtId="0" fontId="27" fillId="3" borderId="231" xfId="0" applyFont="1" applyFill="1" applyBorder="1" applyAlignment="1">
      <alignment horizontal="left" vertical="center" wrapText="1"/>
    </xf>
    <xf numFmtId="172" fontId="56" fillId="6" borderId="237" xfId="1" applyNumberFormat="1" applyFont="1" applyFill="1" applyBorder="1" applyAlignment="1" applyProtection="1">
      <alignment vertical="center"/>
    </xf>
    <xf numFmtId="172" fontId="56" fillId="6" borderId="238" xfId="1" applyNumberFormat="1" applyFont="1" applyFill="1" applyBorder="1" applyAlignment="1" applyProtection="1">
      <alignment vertical="center"/>
    </xf>
    <xf numFmtId="172" fontId="56" fillId="6" borderId="239" xfId="1" applyNumberFormat="1" applyFont="1" applyFill="1" applyBorder="1" applyAlignment="1" applyProtection="1">
      <alignment vertical="center"/>
    </xf>
    <xf numFmtId="0" fontId="27" fillId="3" borderId="240" xfId="0" applyFont="1" applyFill="1" applyBorder="1" applyAlignment="1">
      <alignment horizontal="center" vertical="center" wrapText="1"/>
    </xf>
    <xf numFmtId="172" fontId="56" fillId="6" borderId="237" xfId="1" applyNumberFormat="1" applyFont="1" applyFill="1" applyBorder="1" applyAlignment="1" applyProtection="1">
      <alignment horizontal="center" vertical="center"/>
    </xf>
    <xf numFmtId="0" fontId="64" fillId="6" borderId="22" xfId="0" applyFont="1" applyFill="1" applyBorder="1" applyAlignment="1">
      <alignment vertical="center"/>
    </xf>
    <xf numFmtId="165" fontId="10" fillId="4" borderId="116" xfId="1" applyNumberFormat="1" applyFont="1" applyFill="1" applyBorder="1" applyAlignment="1">
      <alignment horizontal="left" vertical="center" wrapText="1"/>
    </xf>
    <xf numFmtId="165" fontId="10" fillId="5" borderId="117" xfId="1" applyNumberFormat="1" applyFont="1" applyFill="1" applyBorder="1" applyAlignment="1">
      <alignment horizontal="left" vertical="center" wrapText="1"/>
    </xf>
    <xf numFmtId="165" fontId="10" fillId="4" borderId="117" xfId="1" applyNumberFormat="1" applyFont="1" applyFill="1" applyBorder="1" applyAlignment="1">
      <alignment horizontal="left" vertical="center" wrapText="1"/>
    </xf>
    <xf numFmtId="165" fontId="10" fillId="4" borderId="118" xfId="1" applyNumberFormat="1" applyFont="1" applyFill="1" applyBorder="1" applyAlignment="1">
      <alignment horizontal="left" vertical="center" wrapText="1"/>
    </xf>
    <xf numFmtId="0" fontId="64" fillId="6" borderId="119" xfId="0" applyFont="1" applyFill="1" applyBorder="1" applyAlignment="1">
      <alignment vertical="center"/>
    </xf>
    <xf numFmtId="0" fontId="64" fillId="6" borderId="7" xfId="0" applyFont="1" applyFill="1" applyBorder="1" applyAlignment="1">
      <alignment vertical="center"/>
    </xf>
    <xf numFmtId="165" fontId="10" fillId="5" borderId="118" xfId="1" applyNumberFormat="1" applyFont="1" applyFill="1" applyBorder="1" applyAlignment="1">
      <alignment horizontal="left" vertical="center" wrapText="1"/>
    </xf>
    <xf numFmtId="165" fontId="9" fillId="8" borderId="3" xfId="1" applyNumberFormat="1" applyFont="1" applyFill="1" applyBorder="1" applyAlignment="1">
      <alignment horizontal="left" vertical="center" wrapText="1"/>
    </xf>
    <xf numFmtId="165" fontId="10" fillId="4" borderId="0" xfId="1" applyNumberFormat="1" applyFont="1" applyFill="1" applyBorder="1" applyAlignment="1">
      <alignment horizontal="left" vertical="center" wrapText="1"/>
    </xf>
    <xf numFmtId="165" fontId="9" fillId="4" borderId="0" xfId="1" applyNumberFormat="1" applyFont="1" applyFill="1" applyBorder="1" applyAlignment="1">
      <alignment horizontal="left" vertical="center" wrapText="1"/>
    </xf>
    <xf numFmtId="164" fontId="64" fillId="6" borderId="7" xfId="0" applyNumberFormat="1" applyFont="1" applyFill="1" applyBorder="1" applyAlignment="1">
      <alignment vertical="center"/>
    </xf>
    <xf numFmtId="164" fontId="5" fillId="4" borderId="116" xfId="1" applyNumberFormat="1" applyFont="1" applyFill="1" applyBorder="1"/>
    <xf numFmtId="164" fontId="5" fillId="5" borderId="117" xfId="1" applyNumberFormat="1" applyFont="1" applyFill="1" applyBorder="1"/>
    <xf numFmtId="164" fontId="5" fillId="4" borderId="117" xfId="1" applyNumberFormat="1" applyFont="1" applyFill="1" applyBorder="1"/>
    <xf numFmtId="164" fontId="5" fillId="4" borderId="118" xfId="1" applyNumberFormat="1" applyFont="1" applyFill="1" applyBorder="1"/>
    <xf numFmtId="164" fontId="17" fillId="4" borderId="117" xfId="1" applyNumberFormat="1" applyFont="1" applyFill="1" applyBorder="1"/>
    <xf numFmtId="164" fontId="5" fillId="5" borderId="118" xfId="1" applyNumberFormat="1" applyFont="1" applyFill="1" applyBorder="1"/>
    <xf numFmtId="164" fontId="9" fillId="8" borderId="3" xfId="1" applyNumberFormat="1" applyFont="1" applyFill="1" applyBorder="1"/>
    <xf numFmtId="0" fontId="0" fillId="11" borderId="1" xfId="0" applyFill="1" applyBorder="1"/>
    <xf numFmtId="0" fontId="0" fillId="12" borderId="1" xfId="0" applyFill="1" applyBorder="1"/>
    <xf numFmtId="0" fontId="0" fillId="12" borderId="0" xfId="0" applyFill="1"/>
    <xf numFmtId="0" fontId="0" fillId="12" borderId="1" xfId="0" applyFill="1" applyBorder="1" applyAlignment="1">
      <alignment horizontal="center"/>
    </xf>
    <xf numFmtId="0" fontId="2" fillId="12" borderId="1" xfId="0" applyFont="1" applyFill="1" applyBorder="1"/>
    <xf numFmtId="0" fontId="2" fillId="13" borderId="1" xfId="0" applyFont="1" applyFill="1" applyBorder="1"/>
    <xf numFmtId="0" fontId="0" fillId="14" borderId="1" xfId="0" applyFill="1" applyBorder="1"/>
    <xf numFmtId="0" fontId="0" fillId="14" borderId="0" xfId="0" applyFill="1"/>
    <xf numFmtId="0" fontId="2" fillId="14" borderId="1" xfId="0" applyFont="1" applyFill="1" applyBorder="1"/>
    <xf numFmtId="0" fontId="2" fillId="10" borderId="1" xfId="0" applyFont="1" applyFill="1" applyBorder="1" applyAlignment="1">
      <alignment horizontal="center"/>
    </xf>
    <xf numFmtId="0" fontId="2" fillId="10" borderId="1" xfId="0" applyFont="1" applyFill="1" applyBorder="1"/>
    <xf numFmtId="0" fontId="2" fillId="11" borderId="1" xfId="0" applyFont="1" applyFill="1" applyBorder="1"/>
    <xf numFmtId="0" fontId="3" fillId="6" borderId="4" xfId="0" applyFont="1" applyFill="1" applyBorder="1" applyAlignment="1">
      <alignment horizontal="right"/>
    </xf>
    <xf numFmtId="165" fontId="61" fillId="6" borderId="6" xfId="1" applyNumberFormat="1" applyFont="1" applyFill="1" applyBorder="1" applyAlignment="1">
      <alignment vertical="center" wrapText="1"/>
    </xf>
    <xf numFmtId="165" fontId="9" fillId="8" borderId="3" xfId="1" applyNumberFormat="1" applyFont="1" applyFill="1" applyBorder="1" applyAlignment="1">
      <alignment vertical="center" wrapText="1"/>
    </xf>
    <xf numFmtId="0" fontId="0" fillId="0" borderId="7" xfId="0" applyBorder="1"/>
    <xf numFmtId="165" fontId="31" fillId="8" borderId="3" xfId="1" applyNumberFormat="1" applyFont="1" applyFill="1" applyBorder="1" applyAlignment="1">
      <alignment vertical="center" wrapText="1"/>
    </xf>
    <xf numFmtId="0" fontId="9" fillId="8" borderId="241" xfId="0" applyFont="1" applyFill="1" applyBorder="1" applyAlignment="1">
      <alignment horizontal="center" vertical="center"/>
    </xf>
    <xf numFmtId="0" fontId="9" fillId="8" borderId="242" xfId="0" applyFont="1" applyFill="1" applyBorder="1" applyAlignment="1">
      <alignment horizontal="center" vertical="center"/>
    </xf>
    <xf numFmtId="164" fontId="3" fillId="6" borderId="118" xfId="1" applyNumberFormat="1" applyFont="1" applyFill="1" applyBorder="1"/>
    <xf numFmtId="0" fontId="4" fillId="0" borderId="7" xfId="0" applyFont="1" applyBorder="1"/>
    <xf numFmtId="164" fontId="31" fillId="8" borderId="3" xfId="1" applyNumberFormat="1" applyFont="1" applyFill="1" applyBorder="1"/>
    <xf numFmtId="9" fontId="57" fillId="6" borderId="243" xfId="2" applyFont="1" applyFill="1" applyBorder="1" applyAlignment="1" applyProtection="1">
      <alignment horizontal="center" vertical="center" wrapText="1"/>
    </xf>
    <xf numFmtId="9" fontId="57" fillId="6" borderId="244" xfId="2" applyFont="1" applyFill="1" applyBorder="1" applyAlignment="1" applyProtection="1">
      <alignment horizontal="center" vertical="center" wrapText="1"/>
    </xf>
    <xf numFmtId="164" fontId="54" fillId="4" borderId="78" xfId="1" applyNumberFormat="1" applyFont="1" applyFill="1" applyBorder="1" applyAlignment="1">
      <alignment horizontal="left" vertical="center" wrapText="1"/>
    </xf>
    <xf numFmtId="164" fontId="54" fillId="5" borderId="79" xfId="1" applyNumberFormat="1" applyFont="1" applyFill="1" applyBorder="1" applyAlignment="1">
      <alignment horizontal="left" vertical="center" wrapText="1"/>
    </xf>
    <xf numFmtId="164" fontId="54" fillId="4" borderId="79" xfId="1" applyNumberFormat="1" applyFont="1" applyFill="1" applyBorder="1" applyAlignment="1">
      <alignment horizontal="left" vertical="center" wrapText="1"/>
    </xf>
    <xf numFmtId="164" fontId="54" fillId="4" borderId="80" xfId="1" applyNumberFormat="1" applyFont="1" applyFill="1" applyBorder="1" applyAlignment="1">
      <alignment horizontal="left" vertical="center" wrapText="1"/>
    </xf>
    <xf numFmtId="165" fontId="53" fillId="6" borderId="77" xfId="0" applyNumberFormat="1" applyFont="1" applyFill="1" applyBorder="1" applyAlignment="1">
      <alignment horizontal="center" vertical="center"/>
    </xf>
    <xf numFmtId="165" fontId="53" fillId="6" borderId="76" xfId="0" applyNumberFormat="1" applyFont="1" applyFill="1" applyBorder="1" applyAlignment="1">
      <alignment horizontal="center" vertical="center"/>
    </xf>
    <xf numFmtId="164" fontId="54" fillId="5" borderId="205" xfId="1" applyNumberFormat="1" applyFont="1" applyFill="1" applyBorder="1" applyAlignment="1">
      <alignment horizontal="left" vertical="center" wrapText="1"/>
    </xf>
    <xf numFmtId="165" fontId="86" fillId="6" borderId="199" xfId="0" applyNumberFormat="1" applyFont="1" applyFill="1" applyBorder="1" applyAlignment="1">
      <alignment horizontal="center" vertical="center" wrapText="1"/>
    </xf>
    <xf numFmtId="164" fontId="93" fillId="4" borderId="78" xfId="1" applyNumberFormat="1" applyFont="1" applyFill="1" applyBorder="1" applyAlignment="1">
      <alignment horizontal="left" vertical="center" wrapText="1"/>
    </xf>
    <xf numFmtId="164" fontId="93" fillId="5" borderId="79" xfId="1" applyNumberFormat="1" applyFont="1" applyFill="1" applyBorder="1" applyAlignment="1">
      <alignment horizontal="left" vertical="center" wrapText="1"/>
    </xf>
    <xf numFmtId="164" fontId="93" fillId="4" borderId="79" xfId="1" applyNumberFormat="1" applyFont="1" applyFill="1" applyBorder="1" applyAlignment="1">
      <alignment horizontal="left" vertical="center" wrapText="1"/>
    </xf>
    <xf numFmtId="164" fontId="93" fillId="4" borderId="80" xfId="1" applyNumberFormat="1" applyFont="1" applyFill="1" applyBorder="1" applyAlignment="1">
      <alignment horizontal="left" vertical="center" wrapText="1"/>
    </xf>
    <xf numFmtId="165" fontId="86" fillId="6" borderId="77" xfId="0" applyNumberFormat="1" applyFont="1" applyFill="1" applyBorder="1" applyAlignment="1">
      <alignment horizontal="center" vertical="center"/>
    </xf>
    <xf numFmtId="165" fontId="86" fillId="6" borderId="76" xfId="0" applyNumberFormat="1" applyFont="1" applyFill="1" applyBorder="1" applyAlignment="1">
      <alignment horizontal="center" vertical="center"/>
    </xf>
    <xf numFmtId="164" fontId="93" fillId="5" borderId="205" xfId="1" applyNumberFormat="1" applyFont="1" applyFill="1" applyBorder="1" applyAlignment="1">
      <alignment horizontal="left" vertical="center" wrapText="1"/>
    </xf>
    <xf numFmtId="165" fontId="26" fillId="9" borderId="3" xfId="8" applyNumberFormat="1" applyFont="1" applyFill="1" applyBorder="1" applyAlignment="1" applyProtection="1">
      <alignment horizontal="center" vertical="center" wrapText="1"/>
      <protection locked="0"/>
    </xf>
    <xf numFmtId="165" fontId="26" fillId="9" borderId="58" xfId="8" applyNumberFormat="1" applyFont="1" applyFill="1" applyBorder="1" applyAlignment="1" applyProtection="1">
      <alignment horizontal="center" vertical="center" wrapText="1"/>
      <protection locked="0"/>
    </xf>
    <xf numFmtId="165" fontId="26" fillId="9" borderId="63" xfId="8" applyNumberFormat="1" applyFont="1" applyFill="1" applyBorder="1" applyAlignment="1" applyProtection="1">
      <alignment horizontal="center" vertical="center" wrapText="1"/>
      <protection locked="0"/>
    </xf>
    <xf numFmtId="165" fontId="26" fillId="9" borderId="69" xfId="8" applyNumberFormat="1" applyFont="1" applyFill="1" applyBorder="1" applyAlignment="1" applyProtection="1">
      <alignment horizontal="center" vertical="center" wrapText="1"/>
      <protection locked="0"/>
    </xf>
    <xf numFmtId="165" fontId="26" fillId="9" borderId="6" xfId="8" applyNumberFormat="1" applyFont="1" applyFill="1" applyBorder="1" applyAlignment="1" applyProtection="1">
      <alignment horizontal="center" vertical="center" wrapText="1"/>
      <protection locked="0"/>
    </xf>
    <xf numFmtId="165" fontId="27" fillId="9" borderId="58" xfId="8" applyNumberFormat="1" applyFont="1" applyFill="1" applyBorder="1" applyAlignment="1" applyProtection="1">
      <alignment horizontal="center" vertical="center" wrapText="1"/>
      <protection locked="0"/>
    </xf>
    <xf numFmtId="165" fontId="27" fillId="9" borderId="63" xfId="8" applyNumberFormat="1" applyFont="1" applyFill="1" applyBorder="1" applyAlignment="1" applyProtection="1">
      <alignment horizontal="center" vertical="center" wrapText="1"/>
      <protection locked="0"/>
    </xf>
    <xf numFmtId="165" fontId="27" fillId="9" borderId="69" xfId="8" applyNumberFormat="1" applyFont="1" applyFill="1" applyBorder="1" applyAlignment="1" applyProtection="1">
      <alignment horizontal="center" vertical="center" wrapText="1"/>
      <protection locked="0"/>
    </xf>
    <xf numFmtId="165" fontId="27" fillId="15" borderId="63" xfId="8" applyNumberFormat="1" applyFont="1" applyFill="1" applyBorder="1" applyAlignment="1" applyProtection="1">
      <alignment horizontal="center" vertical="center" wrapText="1"/>
      <protection locked="0"/>
    </xf>
    <xf numFmtId="165" fontId="26" fillId="9" borderId="7" xfId="8" applyNumberFormat="1" applyFont="1" applyFill="1" applyBorder="1" applyAlignment="1" applyProtection="1">
      <alignment horizontal="center" vertical="center" wrapText="1"/>
      <protection locked="0"/>
    </xf>
    <xf numFmtId="165" fontId="26" fillId="9" borderId="83" xfId="8" applyNumberFormat="1" applyFont="1" applyFill="1" applyBorder="1" applyAlignment="1" applyProtection="1">
      <alignment horizontal="center" vertical="center" wrapText="1"/>
      <protection locked="0"/>
    </xf>
    <xf numFmtId="165" fontId="26" fillId="9" borderId="85" xfId="8" applyNumberFormat="1" applyFont="1" applyFill="1" applyBorder="1" applyAlignment="1" applyProtection="1">
      <alignment horizontal="center" vertical="center" wrapText="1"/>
      <protection locked="0"/>
    </xf>
    <xf numFmtId="165" fontId="26" fillId="9" borderId="4" xfId="8" applyNumberFormat="1" applyFont="1" applyFill="1" applyBorder="1" applyAlignment="1" applyProtection="1">
      <alignment horizontal="center" vertical="center" wrapText="1"/>
      <protection locked="0"/>
    </xf>
    <xf numFmtId="165" fontId="26" fillId="9" borderId="97" xfId="8" applyNumberFormat="1" applyFont="1" applyFill="1" applyBorder="1" applyAlignment="1" applyProtection="1">
      <alignment horizontal="center" vertical="center" wrapText="1"/>
      <protection locked="0"/>
    </xf>
    <xf numFmtId="165" fontId="26" fillId="9" borderId="60" xfId="8" applyNumberFormat="1" applyFont="1" applyFill="1" applyBorder="1" applyAlignment="1" applyProtection="1">
      <alignment horizontal="center" vertical="center" wrapText="1"/>
      <protection locked="0"/>
    </xf>
    <xf numFmtId="165" fontId="26" fillId="9" borderId="98" xfId="8" applyNumberFormat="1" applyFont="1" applyFill="1" applyBorder="1" applyAlignment="1" applyProtection="1">
      <alignment horizontal="center" vertical="center" wrapText="1"/>
      <protection locked="0"/>
    </xf>
    <xf numFmtId="165" fontId="26" fillId="9" borderId="65" xfId="8" applyNumberFormat="1" applyFont="1" applyFill="1" applyBorder="1" applyAlignment="1" applyProtection="1">
      <alignment horizontal="center" vertical="center" wrapText="1"/>
      <protection locked="0"/>
    </xf>
    <xf numFmtId="165" fontId="26" fillId="9" borderId="99" xfId="8" applyNumberFormat="1" applyFont="1" applyFill="1" applyBorder="1" applyAlignment="1" applyProtection="1">
      <alignment horizontal="center" vertical="center" wrapText="1"/>
      <protection locked="0"/>
    </xf>
    <xf numFmtId="165" fontId="26" fillId="9" borderId="67" xfId="8" applyNumberFormat="1" applyFont="1" applyFill="1" applyBorder="1" applyAlignment="1" applyProtection="1">
      <alignment horizontal="center" vertical="center" wrapText="1"/>
      <protection locked="0"/>
    </xf>
    <xf numFmtId="165" fontId="26" fillId="9" borderId="100" xfId="8" applyNumberFormat="1" applyFont="1" applyFill="1" applyBorder="1" applyAlignment="1" applyProtection="1">
      <alignment horizontal="center" vertical="center" wrapText="1"/>
      <protection locked="0"/>
    </xf>
    <xf numFmtId="165" fontId="26" fillId="9" borderId="71" xfId="8" applyNumberFormat="1" applyFont="1" applyFill="1" applyBorder="1" applyAlignment="1" applyProtection="1">
      <alignment horizontal="center" vertical="center" wrapText="1"/>
      <protection locked="0"/>
    </xf>
    <xf numFmtId="165" fontId="26" fillId="9" borderId="101" xfId="8" applyNumberFormat="1" applyFont="1" applyFill="1" applyBorder="1" applyAlignment="1" applyProtection="1">
      <alignment horizontal="center" vertical="center" wrapText="1"/>
      <protection locked="0"/>
    </xf>
    <xf numFmtId="165" fontId="26" fillId="9" borderId="87" xfId="8" applyNumberFormat="1" applyFont="1" applyFill="1" applyBorder="1" applyAlignment="1" applyProtection="1">
      <alignment horizontal="center" vertical="center" wrapText="1"/>
      <protection locked="0"/>
    </xf>
    <xf numFmtId="165" fontId="26" fillId="9" borderId="102" xfId="8" applyNumberFormat="1" applyFont="1" applyFill="1" applyBorder="1" applyAlignment="1" applyProtection="1">
      <alignment horizontal="center" vertical="center" wrapText="1"/>
      <protection locked="0"/>
    </xf>
    <xf numFmtId="165" fontId="26" fillId="9" borderId="82" xfId="8" applyNumberFormat="1" applyFont="1" applyFill="1" applyBorder="1" applyAlignment="1" applyProtection="1">
      <alignment horizontal="center" vertical="center" wrapText="1"/>
      <protection locked="0"/>
    </xf>
    <xf numFmtId="165" fontId="26" fillId="9" borderId="103" xfId="8" applyNumberFormat="1" applyFont="1" applyFill="1" applyBorder="1" applyAlignment="1" applyProtection="1">
      <alignment horizontal="center" vertical="center" wrapText="1"/>
      <protection locked="0"/>
    </xf>
    <xf numFmtId="165" fontId="26" fillId="9" borderId="76" xfId="8" applyNumberFormat="1" applyFont="1" applyFill="1" applyBorder="1" applyAlignment="1" applyProtection="1">
      <alignment horizontal="center" vertical="center" wrapText="1"/>
      <protection locked="0"/>
    </xf>
    <xf numFmtId="165" fontId="26" fillId="9" borderId="40" xfId="8" applyNumberFormat="1" applyFont="1" applyFill="1" applyBorder="1" applyAlignment="1" applyProtection="1">
      <alignment horizontal="center" vertical="center" wrapText="1"/>
      <protection locked="0"/>
    </xf>
    <xf numFmtId="165" fontId="26" fillId="9" borderId="9" xfId="8" applyNumberFormat="1" applyFont="1" applyFill="1" applyBorder="1" applyAlignment="1" applyProtection="1">
      <alignment horizontal="center" vertical="center" wrapText="1"/>
      <protection locked="0"/>
    </xf>
    <xf numFmtId="165" fontId="26" fillId="9" borderId="104" xfId="8" applyNumberFormat="1" applyFont="1" applyFill="1" applyBorder="1" applyAlignment="1" applyProtection="1">
      <alignment horizontal="center" vertical="center" wrapText="1"/>
      <protection locked="0"/>
    </xf>
    <xf numFmtId="165" fontId="26" fillId="9" borderId="10" xfId="8" applyNumberFormat="1" applyFont="1" applyFill="1" applyBorder="1" applyAlignment="1" applyProtection="1">
      <alignment horizontal="center" vertical="center" wrapText="1"/>
      <protection locked="0"/>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22" fillId="8" borderId="25" xfId="0" applyFont="1" applyFill="1" applyBorder="1" applyAlignment="1">
      <alignment horizontal="center"/>
    </xf>
    <xf numFmtId="0" fontId="22" fillId="8" borderId="26" xfId="0" applyFont="1" applyFill="1" applyBorder="1" applyAlignment="1">
      <alignment horizontal="center"/>
    </xf>
    <xf numFmtId="0" fontId="22" fillId="8" borderId="9" xfId="0" applyFont="1" applyFill="1" applyBorder="1" applyAlignment="1">
      <alignment horizontal="center"/>
    </xf>
    <xf numFmtId="43" fontId="19" fillId="0" borderId="6" xfId="0" applyNumberFormat="1" applyFont="1" applyBorder="1" applyAlignment="1">
      <alignment horizontal="center" vertical="center" wrapText="1"/>
    </xf>
    <xf numFmtId="43" fontId="19" fillId="0" borderId="7" xfId="0" applyNumberFormat="1" applyFont="1" applyBorder="1" applyAlignment="1">
      <alignment horizontal="center" vertical="center" wrapText="1"/>
    </xf>
    <xf numFmtId="0" fontId="22" fillId="6" borderId="25" xfId="0" applyFont="1" applyFill="1" applyBorder="1" applyAlignment="1">
      <alignment horizontal="center"/>
    </xf>
    <xf numFmtId="0" fontId="22" fillId="6" borderId="26" xfId="0" applyFont="1" applyFill="1" applyBorder="1" applyAlignment="1">
      <alignment horizontal="center"/>
    </xf>
    <xf numFmtId="0" fontId="22" fillId="6" borderId="9" xfId="0" applyFont="1" applyFill="1" applyBorder="1" applyAlignment="1">
      <alignment horizont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3" xfId="0" applyFont="1" applyBorder="1" applyAlignment="1">
      <alignment horizontal="center" vertical="center"/>
    </xf>
    <xf numFmtId="43" fontId="0" fillId="0" borderId="12" xfId="0" applyNumberFormat="1" applyBorder="1" applyAlignment="1">
      <alignment horizontal="center" vertical="center"/>
    </xf>
    <xf numFmtId="0" fontId="15" fillId="0" borderId="6" xfId="0" applyFont="1" applyBorder="1" applyAlignment="1">
      <alignment horizontal="left" vertical="center" wrapText="1"/>
    </xf>
    <xf numFmtId="0" fontId="15" fillId="0" borderId="3" xfId="0" applyFont="1" applyBorder="1" applyAlignment="1">
      <alignment horizontal="left" vertical="center" wrapText="1"/>
    </xf>
    <xf numFmtId="0" fontId="0" fillId="0" borderId="11" xfId="0" applyBorder="1" applyAlignment="1">
      <alignment horizontal="center" vertical="center"/>
    </xf>
    <xf numFmtId="167" fontId="11" fillId="0" borderId="5" xfId="1" applyNumberFormat="1" applyFont="1" applyFill="1" applyBorder="1" applyAlignment="1">
      <alignment horizontal="center" vertical="center" wrapText="1"/>
    </xf>
    <xf numFmtId="167" fontId="11" fillId="0" borderId="12" xfId="1" applyNumberFormat="1" applyFont="1" applyFill="1" applyBorder="1" applyAlignment="1">
      <alignment horizontal="center" vertical="center" wrapText="1"/>
    </xf>
    <xf numFmtId="167" fontId="11" fillId="0" borderId="8" xfId="1"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5" fillId="0" borderId="7" xfId="0" applyFont="1" applyBorder="1" applyAlignment="1">
      <alignment horizontal="left" vertical="center" wrapText="1"/>
    </xf>
    <xf numFmtId="167" fontId="18" fillId="0" borderId="6" xfId="1" applyNumberFormat="1" applyFont="1" applyBorder="1" applyAlignment="1">
      <alignment horizontal="center" vertical="center" wrapText="1"/>
    </xf>
    <xf numFmtId="167" fontId="18" fillId="0" borderId="7" xfId="1" applyNumberFormat="1" applyFont="1" applyBorder="1" applyAlignment="1">
      <alignment horizontal="center" vertical="center" wrapText="1"/>
    </xf>
    <xf numFmtId="167" fontId="18" fillId="0" borderId="3" xfId="1" applyNumberFormat="1" applyFont="1" applyBorder="1" applyAlignment="1">
      <alignment horizontal="center" vertical="center" wrapText="1"/>
    </xf>
    <xf numFmtId="2" fontId="16" fillId="0" borderId="6" xfId="0" applyNumberFormat="1" applyFont="1" applyBorder="1" applyAlignment="1">
      <alignment horizontal="center" vertical="center" wrapText="1"/>
    </xf>
    <xf numFmtId="2" fontId="16" fillId="0" borderId="7" xfId="0" applyNumberFormat="1" applyFont="1" applyBorder="1" applyAlignment="1">
      <alignment horizontal="center" vertical="center" wrapText="1"/>
    </xf>
    <xf numFmtId="2" fontId="16" fillId="0" borderId="3" xfId="0" applyNumberFormat="1" applyFont="1" applyBorder="1" applyAlignment="1">
      <alignment horizontal="center" vertical="center" wrapText="1"/>
    </xf>
    <xf numFmtId="0" fontId="65" fillId="8" borderId="25" xfId="0" applyFont="1" applyFill="1" applyBorder="1" applyAlignment="1">
      <alignment horizontal="right"/>
    </xf>
    <xf numFmtId="0" fontId="65" fillId="8" borderId="26" xfId="0" applyFont="1" applyFill="1" applyBorder="1" applyAlignment="1">
      <alignment horizontal="right"/>
    </xf>
    <xf numFmtId="0" fontId="65" fillId="8" borderId="9" xfId="0" applyFont="1" applyFill="1" applyBorder="1" applyAlignment="1">
      <alignment horizontal="right"/>
    </xf>
    <xf numFmtId="0" fontId="22" fillId="8" borderId="89" xfId="0" applyFont="1" applyFill="1" applyBorder="1" applyAlignment="1">
      <alignment horizontal="center" vertical="center"/>
    </xf>
    <xf numFmtId="0" fontId="22" fillId="8" borderId="20" xfId="0" applyFont="1" applyFill="1" applyBorder="1" applyAlignment="1">
      <alignment horizontal="center" vertical="center"/>
    </xf>
    <xf numFmtId="0" fontId="22" fillId="8" borderId="88" xfId="0" applyFont="1" applyFill="1" applyBorder="1" applyAlignment="1">
      <alignment horizontal="center" vertical="center"/>
    </xf>
    <xf numFmtId="0" fontId="22" fillId="8" borderId="19" xfId="0" applyFont="1" applyFill="1" applyBorder="1" applyAlignment="1">
      <alignment horizontal="center" vertical="center"/>
    </xf>
    <xf numFmtId="0" fontId="71" fillId="8" borderId="88" xfId="0" applyFont="1" applyFill="1" applyBorder="1" applyAlignment="1">
      <alignment horizontal="center" vertical="center" wrapText="1"/>
    </xf>
    <xf numFmtId="0" fontId="71" fillId="8" borderId="10" xfId="0" applyFont="1" applyFill="1" applyBorder="1" applyAlignment="1">
      <alignment horizontal="center" vertical="center" wrapText="1"/>
    </xf>
    <xf numFmtId="0" fontId="81" fillId="6" borderId="0" xfId="0" applyFont="1" applyFill="1" applyAlignment="1">
      <alignment horizontal="center" vertical="center"/>
    </xf>
    <xf numFmtId="0" fontId="82" fillId="3" borderId="25" xfId="0" applyFont="1" applyFill="1" applyBorder="1" applyAlignment="1">
      <alignment horizontal="center"/>
    </xf>
    <xf numFmtId="0" fontId="82" fillId="3" borderId="26" xfId="0" applyFont="1" applyFill="1" applyBorder="1" applyAlignment="1">
      <alignment horizontal="center"/>
    </xf>
    <xf numFmtId="0" fontId="82" fillId="3" borderId="9" xfId="0" applyFont="1" applyFill="1" applyBorder="1" applyAlignment="1">
      <alignment horizontal="center"/>
    </xf>
    <xf numFmtId="0" fontId="4" fillId="0" borderId="44" xfId="0" applyFont="1" applyBorder="1" applyAlignment="1">
      <alignment horizontal="center"/>
    </xf>
    <xf numFmtId="0" fontId="4" fillId="3" borderId="45" xfId="0" applyFont="1" applyFill="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81" fillId="8" borderId="19" xfId="0" applyFont="1" applyFill="1" applyBorder="1" applyAlignment="1">
      <alignment horizontal="center" vertical="center"/>
    </xf>
    <xf numFmtId="0" fontId="81" fillId="8" borderId="0" xfId="0" applyFont="1" applyFill="1" applyAlignment="1">
      <alignment horizontal="center" vertical="center"/>
    </xf>
    <xf numFmtId="0" fontId="84" fillId="6" borderId="25" xfId="0" applyFont="1" applyFill="1" applyBorder="1" applyAlignment="1">
      <alignment horizontal="left"/>
    </xf>
    <xf numFmtId="0" fontId="84" fillId="6" borderId="26" xfId="0" applyFont="1" applyFill="1" applyBorder="1" applyAlignment="1">
      <alignment horizontal="left"/>
    </xf>
    <xf numFmtId="0" fontId="84" fillId="6" borderId="9" xfId="0" applyFont="1" applyFill="1" applyBorder="1" applyAlignment="1">
      <alignment horizontal="left"/>
    </xf>
    <xf numFmtId="0" fontId="84" fillId="6" borderId="25" xfId="0" applyFont="1" applyFill="1" applyBorder="1" applyAlignment="1">
      <alignment horizontal="left" vertical="top"/>
    </xf>
    <xf numFmtId="0" fontId="84" fillId="6" borderId="26" xfId="0" applyFont="1" applyFill="1" applyBorder="1" applyAlignment="1">
      <alignment horizontal="left" vertical="top"/>
    </xf>
    <xf numFmtId="0" fontId="84" fillId="6" borderId="9" xfId="0" applyFont="1" applyFill="1" applyBorder="1" applyAlignment="1">
      <alignment horizontal="left" vertical="top"/>
    </xf>
    <xf numFmtId="0" fontId="34" fillId="4" borderId="25" xfId="0" applyFont="1" applyFill="1" applyBorder="1" applyAlignment="1">
      <alignment horizontal="center" vertical="center"/>
    </xf>
    <xf numFmtId="0" fontId="34" fillId="4" borderId="26" xfId="0" applyFont="1" applyFill="1" applyBorder="1" applyAlignment="1">
      <alignment horizontal="center" vertical="center"/>
    </xf>
    <xf numFmtId="0" fontId="34" fillId="4" borderId="48" xfId="0" applyFont="1" applyFill="1" applyBorder="1" applyAlignment="1">
      <alignment horizontal="center" vertical="center"/>
    </xf>
    <xf numFmtId="0" fontId="84" fillId="6" borderId="25" xfId="0" applyFont="1" applyFill="1" applyBorder="1" applyAlignment="1">
      <alignment horizontal="center" vertical="center"/>
    </xf>
    <xf numFmtId="0" fontId="84" fillId="6" borderId="26" xfId="0" applyFont="1" applyFill="1" applyBorder="1" applyAlignment="1">
      <alignment horizontal="center" vertical="center"/>
    </xf>
    <xf numFmtId="0" fontId="84" fillId="6" borderId="48" xfId="0" applyFont="1" applyFill="1" applyBorder="1" applyAlignment="1">
      <alignment horizontal="center" vertical="center"/>
    </xf>
    <xf numFmtId="0" fontId="84" fillId="6" borderId="25" xfId="0" applyFont="1" applyFill="1" applyBorder="1" applyAlignment="1">
      <alignment horizontal="center"/>
    </xf>
    <xf numFmtId="0" fontId="84" fillId="6" borderId="26" xfId="0" applyFont="1" applyFill="1" applyBorder="1" applyAlignment="1">
      <alignment horizontal="center"/>
    </xf>
    <xf numFmtId="0" fontId="84" fillId="6" borderId="9" xfId="0" applyFont="1" applyFill="1" applyBorder="1" applyAlignment="1">
      <alignment horizontal="center"/>
    </xf>
    <xf numFmtId="173" fontId="3" fillId="8" borderId="21" xfId="1" applyNumberFormat="1" applyFont="1" applyFill="1" applyBorder="1" applyAlignment="1">
      <alignment horizontal="center" vertical="center" wrapText="1"/>
    </xf>
    <xf numFmtId="173" fontId="3" fillId="8" borderId="19" xfId="1" applyNumberFormat="1" applyFont="1" applyFill="1" applyBorder="1" applyAlignment="1">
      <alignment horizontal="center" vertical="center" wrapText="1"/>
    </xf>
    <xf numFmtId="0" fontId="31" fillId="8" borderId="211" xfId="0" applyFont="1" applyFill="1" applyBorder="1" applyAlignment="1">
      <alignment horizontal="center"/>
    </xf>
    <xf numFmtId="0" fontId="31" fillId="8" borderId="212" xfId="0" applyFont="1" applyFill="1" applyBorder="1" applyAlignment="1">
      <alignment horizontal="center"/>
    </xf>
    <xf numFmtId="0" fontId="31" fillId="8" borderId="213" xfId="0" applyFont="1" applyFill="1" applyBorder="1" applyAlignment="1">
      <alignment horizontal="center"/>
    </xf>
    <xf numFmtId="164" fontId="9" fillId="8" borderId="245" xfId="1" applyNumberFormat="1" applyFont="1" applyFill="1" applyBorder="1" applyAlignment="1">
      <alignment horizontal="center"/>
    </xf>
    <xf numFmtId="164" fontId="9" fillId="8" borderId="9" xfId="1" applyNumberFormat="1" applyFont="1" applyFill="1" applyBorder="1" applyAlignment="1">
      <alignment horizontal="center"/>
    </xf>
    <xf numFmtId="0" fontId="22" fillId="8" borderId="6" xfId="0" applyFont="1" applyFill="1" applyBorder="1" applyAlignment="1">
      <alignment horizontal="center" vertical="center" wrapText="1"/>
    </xf>
    <xf numFmtId="0" fontId="22" fillId="8" borderId="209" xfId="0" applyFont="1" applyFill="1" applyBorder="1" applyAlignment="1">
      <alignment horizontal="center" vertical="center" wrapText="1"/>
    </xf>
    <xf numFmtId="0" fontId="70" fillId="0" borderId="6" xfId="0" applyFont="1" applyBorder="1" applyAlignment="1">
      <alignment horizontal="center" vertical="center" wrapText="1"/>
    </xf>
    <xf numFmtId="0" fontId="70" fillId="0" borderId="7"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215" xfId="0" applyFont="1" applyBorder="1" applyAlignment="1">
      <alignment horizontal="center" vertical="center" wrapText="1"/>
    </xf>
    <xf numFmtId="0" fontId="70" fillId="0" borderId="209" xfId="0" applyFont="1" applyBorder="1" applyAlignment="1">
      <alignment horizontal="center" vertical="center" wrapText="1"/>
    </xf>
    <xf numFmtId="0" fontId="26" fillId="3" borderId="144" xfId="0" applyFont="1" applyFill="1" applyBorder="1" applyAlignment="1">
      <alignment horizontal="center" vertical="center" wrapText="1"/>
    </xf>
    <xf numFmtId="0" fontId="26" fillId="3" borderId="144" xfId="0" applyFont="1" applyFill="1" applyBorder="1" applyAlignment="1">
      <alignment horizontal="left" vertical="center" wrapText="1"/>
    </xf>
    <xf numFmtId="0" fontId="26" fillId="3" borderId="141" xfId="0" applyFont="1" applyFill="1" applyBorder="1" applyAlignment="1">
      <alignment horizontal="center" vertical="center" wrapText="1"/>
    </xf>
    <xf numFmtId="0" fontId="26" fillId="3" borderId="147" xfId="0" applyFont="1" applyFill="1" applyBorder="1" applyAlignment="1">
      <alignment horizontal="center" vertical="center" wrapText="1"/>
    </xf>
    <xf numFmtId="0" fontId="26" fillId="3" borderId="159" xfId="0" applyFont="1" applyFill="1" applyBorder="1" applyAlignment="1">
      <alignment horizontal="left" vertical="center" wrapText="1"/>
    </xf>
    <xf numFmtId="0" fontId="26" fillId="3" borderId="160" xfId="0" applyFont="1" applyFill="1" applyBorder="1" applyAlignment="1">
      <alignment horizontal="left" vertical="center" wrapText="1"/>
    </xf>
    <xf numFmtId="0" fontId="26" fillId="3" borderId="161" xfId="0" applyFont="1" applyFill="1" applyBorder="1" applyAlignment="1">
      <alignment horizontal="left" vertical="center" wrapText="1"/>
    </xf>
    <xf numFmtId="0" fontId="45" fillId="3" borderId="144" xfId="0" applyFont="1" applyFill="1" applyBorder="1" applyAlignment="1">
      <alignment horizontal="right" vertical="center" wrapText="1"/>
    </xf>
    <xf numFmtId="0" fontId="45" fillId="3" borderId="141" xfId="0" applyFont="1" applyFill="1" applyBorder="1" applyAlignment="1">
      <alignment horizontal="right" vertical="center" wrapText="1"/>
    </xf>
    <xf numFmtId="0" fontId="44" fillId="3" borderId="174" xfId="0" applyFont="1" applyFill="1" applyBorder="1" applyAlignment="1">
      <alignment horizontal="left" vertical="center" wrapText="1"/>
    </xf>
    <xf numFmtId="0" fontId="44" fillId="3" borderId="175" xfId="0" applyFont="1" applyFill="1" applyBorder="1" applyAlignment="1">
      <alignment horizontal="left" vertical="center" wrapText="1"/>
    </xf>
    <xf numFmtId="0" fontId="44" fillId="3" borderId="230" xfId="0" applyFont="1" applyFill="1" applyBorder="1" applyAlignment="1">
      <alignment horizontal="left" vertical="center" wrapText="1"/>
    </xf>
    <xf numFmtId="0" fontId="44" fillId="3" borderId="182" xfId="0" applyFont="1" applyFill="1" applyBorder="1" applyAlignment="1">
      <alignment horizontal="left" vertical="center" wrapText="1"/>
    </xf>
    <xf numFmtId="0" fontId="44" fillId="3" borderId="176" xfId="0" applyFont="1" applyFill="1" applyBorder="1" applyAlignment="1">
      <alignment horizontal="left" vertical="center" wrapText="1"/>
    </xf>
    <xf numFmtId="0" fontId="38" fillId="6" borderId="216" xfId="0" applyFont="1" applyFill="1" applyBorder="1" applyAlignment="1" applyProtection="1">
      <alignment horizontal="left" vertical="center"/>
      <protection locked="0"/>
    </xf>
    <xf numFmtId="0" fontId="38" fillId="6" borderId="0" xfId="0" applyFont="1" applyFill="1" applyAlignment="1" applyProtection="1">
      <alignment horizontal="left" vertical="center"/>
      <protection locked="0"/>
    </xf>
    <xf numFmtId="0" fontId="38" fillId="6" borderId="76" xfId="0" applyFont="1" applyFill="1" applyBorder="1" applyAlignment="1" applyProtection="1">
      <alignment horizontal="left" vertical="center"/>
      <protection locked="0"/>
    </xf>
    <xf numFmtId="0" fontId="42" fillId="9" borderId="126" xfId="0" applyFont="1" applyFill="1" applyBorder="1" applyAlignment="1" applyProtection="1">
      <alignment horizontal="left" vertical="top" wrapText="1"/>
      <protection locked="0"/>
    </xf>
    <xf numFmtId="0" fontId="42" fillId="9" borderId="127" xfId="0" applyFont="1" applyFill="1" applyBorder="1" applyAlignment="1" applyProtection="1">
      <alignment horizontal="left" vertical="top" wrapText="1"/>
      <protection locked="0"/>
    </xf>
    <xf numFmtId="0" fontId="42" fillId="9" borderId="125" xfId="0" applyFont="1" applyFill="1" applyBorder="1" applyAlignment="1" applyProtection="1">
      <alignment horizontal="left" vertical="top" wrapText="1"/>
      <protection locked="0"/>
    </xf>
    <xf numFmtId="0" fontId="39" fillId="3" borderId="182" xfId="0" applyFont="1" applyFill="1" applyBorder="1" applyAlignment="1">
      <alignment horizontal="left" vertical="center" wrapText="1"/>
    </xf>
    <xf numFmtId="0" fontId="39" fillId="3" borderId="175" xfId="0" applyFont="1" applyFill="1" applyBorder="1" applyAlignment="1">
      <alignment horizontal="left" vertical="center" wrapText="1"/>
    </xf>
    <xf numFmtId="0" fontId="39" fillId="3" borderId="176" xfId="0" applyFont="1" applyFill="1" applyBorder="1" applyAlignment="1">
      <alignment horizontal="left" vertical="center" wrapText="1"/>
    </xf>
    <xf numFmtId="0" fontId="26" fillId="3" borderId="181" xfId="0" applyFont="1" applyFill="1" applyBorder="1" applyAlignment="1">
      <alignment horizontal="left" vertical="center" wrapText="1"/>
    </xf>
    <xf numFmtId="0" fontId="26" fillId="3" borderId="178" xfId="0" applyFont="1" applyFill="1" applyBorder="1" applyAlignment="1">
      <alignment horizontal="left" vertical="center" wrapText="1"/>
    </xf>
    <xf numFmtId="0" fontId="26" fillId="3" borderId="179" xfId="0" applyFont="1" applyFill="1" applyBorder="1" applyAlignment="1">
      <alignment horizontal="left" vertical="center" wrapText="1"/>
    </xf>
    <xf numFmtId="0" fontId="26" fillId="3" borderId="177" xfId="0" applyFont="1" applyFill="1" applyBorder="1" applyAlignment="1">
      <alignment horizontal="left" vertical="center" wrapText="1"/>
    </xf>
    <xf numFmtId="0" fontId="39" fillId="3" borderId="174" xfId="0" applyFont="1" applyFill="1" applyBorder="1" applyAlignment="1">
      <alignment horizontal="left" vertical="center" wrapText="1"/>
    </xf>
    <xf numFmtId="0" fontId="45" fillId="3" borderId="166" xfId="0" applyFont="1" applyFill="1" applyBorder="1" applyAlignment="1">
      <alignment horizontal="right" vertical="center" wrapText="1"/>
    </xf>
    <xf numFmtId="0" fontId="45" fillId="3" borderId="179" xfId="0" applyFont="1" applyFill="1" applyBorder="1" applyAlignment="1">
      <alignment horizontal="right" vertical="center" wrapText="1"/>
    </xf>
    <xf numFmtId="0" fontId="45" fillId="3" borderId="169" xfId="0" applyFont="1" applyFill="1" applyBorder="1" applyAlignment="1">
      <alignment horizontal="right" vertical="center" wrapText="1"/>
    </xf>
    <xf numFmtId="0" fontId="45" fillId="3" borderId="172" xfId="0" applyFont="1" applyFill="1" applyBorder="1" applyAlignment="1">
      <alignment horizontal="right" vertical="center" wrapText="1"/>
    </xf>
    <xf numFmtId="0" fontId="45" fillId="3" borderId="181" xfId="0" applyFont="1" applyFill="1" applyBorder="1" applyAlignment="1">
      <alignment horizontal="right" vertical="center" wrapText="1"/>
    </xf>
    <xf numFmtId="0" fontId="45" fillId="3" borderId="178" xfId="0" applyFont="1" applyFill="1" applyBorder="1" applyAlignment="1">
      <alignment horizontal="right" vertical="center" wrapText="1"/>
    </xf>
    <xf numFmtId="0" fontId="45" fillId="3" borderId="177" xfId="0" applyFont="1" applyFill="1" applyBorder="1" applyAlignment="1">
      <alignment horizontal="right" vertical="center" wrapText="1"/>
    </xf>
    <xf numFmtId="0" fontId="39" fillId="3" borderId="168" xfId="0" applyFont="1" applyFill="1" applyBorder="1" applyAlignment="1">
      <alignment horizontal="left" vertical="center" wrapText="1"/>
    </xf>
    <xf numFmtId="0" fontId="26" fillId="3" borderId="169" xfId="0" applyFont="1" applyFill="1" applyBorder="1" applyAlignment="1">
      <alignment horizontal="left" vertical="center" wrapText="1"/>
    </xf>
    <xf numFmtId="0" fontId="39" fillId="3" borderId="165" xfId="0" applyFont="1" applyFill="1" applyBorder="1" applyAlignment="1">
      <alignment horizontal="left" vertical="center" wrapText="1"/>
    </xf>
    <xf numFmtId="0" fontId="26" fillId="3" borderId="166" xfId="0" applyFont="1" applyFill="1" applyBorder="1" applyAlignment="1">
      <alignment horizontal="left" vertical="center" wrapText="1"/>
    </xf>
    <xf numFmtId="0" fontId="26" fillId="3" borderId="172" xfId="0" applyFont="1" applyFill="1" applyBorder="1" applyAlignment="1">
      <alignment horizontal="left" vertical="center" wrapText="1"/>
    </xf>
    <xf numFmtId="0" fontId="45" fillId="3" borderId="166" xfId="0" applyFont="1" applyFill="1" applyBorder="1" applyAlignment="1">
      <alignment horizontal="left" vertical="center" wrapText="1"/>
    </xf>
    <xf numFmtId="0" fontId="45" fillId="3" borderId="169" xfId="0" applyFont="1" applyFill="1" applyBorder="1" applyAlignment="1">
      <alignment horizontal="left" vertical="center" wrapText="1"/>
    </xf>
    <xf numFmtId="0" fontId="45" fillId="3" borderId="172" xfId="0" applyFont="1" applyFill="1" applyBorder="1" applyAlignment="1">
      <alignment horizontal="left" vertical="center" wrapText="1"/>
    </xf>
    <xf numFmtId="0" fontId="45" fillId="3" borderId="179" xfId="0" applyFont="1" applyFill="1" applyBorder="1" applyAlignment="1">
      <alignment horizontal="left" vertical="center" wrapText="1"/>
    </xf>
    <xf numFmtId="43" fontId="59" fillId="6" borderId="25" xfId="1" applyFont="1" applyFill="1" applyBorder="1" applyAlignment="1" applyProtection="1">
      <alignment horizontal="center"/>
    </xf>
    <xf numFmtId="43" fontId="59" fillId="6" borderId="9" xfId="1" applyFont="1" applyFill="1" applyBorder="1" applyAlignment="1" applyProtection="1">
      <alignment horizontal="center"/>
    </xf>
    <xf numFmtId="0" fontId="10" fillId="9" borderId="25"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43" fontId="38" fillId="8" borderId="25" xfId="1" applyFont="1" applyFill="1" applyBorder="1" applyAlignment="1" applyProtection="1">
      <alignment horizontal="center"/>
    </xf>
    <xf numFmtId="43" fontId="38" fillId="8" borderId="9" xfId="1" applyFont="1" applyFill="1" applyBorder="1" applyAlignment="1" applyProtection="1">
      <alignment horizontal="center"/>
    </xf>
    <xf numFmtId="0" fontId="3" fillId="8" borderId="25" xfId="0" applyFont="1" applyFill="1" applyBorder="1" applyAlignment="1">
      <alignment horizontal="center" vertical="center"/>
    </xf>
    <xf numFmtId="0" fontId="3" fillId="8" borderId="9" xfId="0" applyFont="1" applyFill="1" applyBorder="1" applyAlignment="1">
      <alignment horizontal="center" vertical="center"/>
    </xf>
    <xf numFmtId="0" fontId="3" fillId="6" borderId="25"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44" fillId="3" borderId="165" xfId="0" applyFont="1" applyFill="1" applyBorder="1" applyAlignment="1">
      <alignment horizontal="left" vertical="center" wrapText="1"/>
    </xf>
    <xf numFmtId="0" fontId="44" fillId="3" borderId="168" xfId="0" applyFont="1" applyFill="1" applyBorder="1" applyAlignment="1">
      <alignment horizontal="left" vertical="center" wrapText="1"/>
    </xf>
    <xf numFmtId="0" fontId="44" fillId="3" borderId="171" xfId="0" applyFont="1" applyFill="1" applyBorder="1" applyAlignment="1">
      <alignment horizontal="left" vertical="center" wrapText="1"/>
    </xf>
    <xf numFmtId="9" fontId="57" fillId="6" borderId="6" xfId="2" applyFont="1" applyFill="1" applyBorder="1" applyAlignment="1" applyProtection="1">
      <alignment horizontal="center" vertical="center" wrapText="1"/>
    </xf>
    <xf numFmtId="9" fontId="57" fillId="6" borderId="7" xfId="2" applyFont="1" applyFill="1" applyBorder="1" applyAlignment="1" applyProtection="1">
      <alignment horizontal="center" vertical="center" wrapText="1"/>
    </xf>
    <xf numFmtId="9" fontId="57" fillId="6" borderId="3" xfId="2" applyFont="1" applyFill="1" applyBorder="1" applyAlignment="1" applyProtection="1">
      <alignment horizontal="center" vertical="center" wrapText="1"/>
    </xf>
    <xf numFmtId="0" fontId="45" fillId="3" borderId="166" xfId="0" applyFont="1" applyFill="1" applyBorder="1" applyAlignment="1">
      <alignment horizontal="right" vertical="center"/>
    </xf>
    <xf numFmtId="0" fontId="45" fillId="3" borderId="169" xfId="0" applyFont="1" applyFill="1" applyBorder="1" applyAlignment="1">
      <alignment horizontal="right" vertical="center"/>
    </xf>
    <xf numFmtId="0" fontId="45" fillId="3" borderId="172" xfId="0" applyFont="1" applyFill="1" applyBorder="1" applyAlignment="1">
      <alignment horizontal="right" vertical="center"/>
    </xf>
    <xf numFmtId="0" fontId="38" fillId="6" borderId="216" xfId="0" applyFont="1" applyFill="1" applyBorder="1" applyAlignment="1">
      <alignment horizontal="left" vertical="center"/>
    </xf>
    <xf numFmtId="0" fontId="38" fillId="6" borderId="0" xfId="0" applyFont="1" applyFill="1" applyAlignment="1">
      <alignment horizontal="left" vertical="center"/>
    </xf>
    <xf numFmtId="0" fontId="38" fillId="6" borderId="76" xfId="0" applyFont="1" applyFill="1" applyBorder="1" applyAlignment="1">
      <alignment horizontal="left" vertical="center"/>
    </xf>
    <xf numFmtId="165" fontId="26" fillId="9" borderId="6" xfId="8" applyNumberFormat="1" applyFont="1" applyFill="1" applyBorder="1" applyAlignment="1" applyProtection="1">
      <alignment horizontal="center" vertical="center" wrapText="1"/>
      <protection locked="0"/>
    </xf>
    <xf numFmtId="165" fontId="26" fillId="9" borderId="3" xfId="8" applyNumberFormat="1" applyFont="1" applyFill="1" applyBorder="1" applyAlignment="1" applyProtection="1">
      <alignment horizontal="center" vertical="center" wrapText="1"/>
      <protection locked="0"/>
    </xf>
    <xf numFmtId="165" fontId="26" fillId="9" borderId="7" xfId="8" applyNumberFormat="1" applyFont="1" applyFill="1" applyBorder="1" applyAlignment="1" applyProtection="1">
      <alignment horizontal="center" vertical="center" wrapText="1"/>
      <protection locked="0"/>
    </xf>
    <xf numFmtId="172" fontId="56" fillId="7" borderId="6" xfId="1" applyNumberFormat="1" applyFont="1" applyFill="1" applyBorder="1" applyAlignment="1" applyProtection="1">
      <alignment horizontal="center" vertical="center" wrapText="1"/>
    </xf>
    <xf numFmtId="172" fontId="56" fillId="7" borderId="7" xfId="1" applyNumberFormat="1" applyFont="1" applyFill="1" applyBorder="1" applyAlignment="1" applyProtection="1">
      <alignment horizontal="center" vertical="center" wrapText="1"/>
    </xf>
    <xf numFmtId="172" fontId="56" fillId="7" borderId="3" xfId="1" applyNumberFormat="1" applyFont="1" applyFill="1" applyBorder="1" applyAlignment="1" applyProtection="1">
      <alignment horizontal="center" vertical="center" wrapText="1"/>
    </xf>
    <xf numFmtId="172" fontId="56" fillId="7" borderId="6" xfId="1" applyNumberFormat="1" applyFont="1" applyFill="1" applyBorder="1" applyAlignment="1" applyProtection="1">
      <alignment horizontal="center" vertical="center"/>
    </xf>
    <xf numFmtId="172" fontId="56" fillId="7" borderId="7" xfId="1" applyNumberFormat="1" applyFont="1" applyFill="1" applyBorder="1" applyAlignment="1" applyProtection="1">
      <alignment horizontal="center" vertical="center"/>
    </xf>
    <xf numFmtId="172" fontId="56" fillId="7" borderId="3" xfId="1" applyNumberFormat="1" applyFont="1" applyFill="1" applyBorder="1" applyAlignment="1" applyProtection="1">
      <alignment horizontal="center" vertical="center"/>
    </xf>
    <xf numFmtId="169" fontId="56" fillId="7" borderId="6" xfId="2" applyNumberFormat="1" applyFont="1" applyFill="1" applyBorder="1" applyAlignment="1" applyProtection="1">
      <alignment horizontal="center" vertical="center" wrapText="1"/>
    </xf>
    <xf numFmtId="169" fontId="56" fillId="7" borderId="7" xfId="2" applyNumberFormat="1" applyFont="1" applyFill="1" applyBorder="1" applyAlignment="1" applyProtection="1">
      <alignment horizontal="center" vertical="center" wrapText="1"/>
    </xf>
    <xf numFmtId="169" fontId="56" fillId="7" borderId="3" xfId="2" applyNumberFormat="1" applyFont="1" applyFill="1" applyBorder="1" applyAlignment="1" applyProtection="1">
      <alignment horizontal="center" vertical="center" wrapText="1"/>
    </xf>
    <xf numFmtId="169" fontId="56" fillId="7" borderId="6" xfId="2" applyNumberFormat="1" applyFont="1" applyFill="1" applyBorder="1" applyAlignment="1" applyProtection="1">
      <alignment horizontal="center" vertical="center"/>
    </xf>
    <xf numFmtId="169" fontId="56" fillId="7" borderId="3" xfId="2" applyNumberFormat="1" applyFont="1" applyFill="1" applyBorder="1" applyAlignment="1" applyProtection="1">
      <alignment horizontal="center" vertical="center"/>
    </xf>
    <xf numFmtId="165" fontId="26" fillId="9" borderId="6" xfId="1" applyNumberFormat="1" applyFont="1" applyFill="1" applyBorder="1" applyAlignment="1" applyProtection="1">
      <alignment horizontal="center" vertical="center" wrapText="1"/>
      <protection locked="0"/>
    </xf>
    <xf numFmtId="165" fontId="26" fillId="9" borderId="7" xfId="1" applyNumberFormat="1" applyFont="1" applyFill="1" applyBorder="1" applyAlignment="1" applyProtection="1">
      <alignment horizontal="center" vertical="center" wrapText="1"/>
      <protection locked="0"/>
    </xf>
    <xf numFmtId="165" fontId="26" fillId="9" borderId="3" xfId="1" applyNumberFormat="1" applyFont="1" applyFill="1" applyBorder="1" applyAlignment="1" applyProtection="1">
      <alignment horizontal="center" vertical="center" wrapText="1"/>
      <protection locked="0"/>
    </xf>
    <xf numFmtId="169" fontId="56" fillId="7" borderId="7" xfId="2" applyNumberFormat="1" applyFont="1" applyFill="1" applyBorder="1" applyAlignment="1" applyProtection="1">
      <alignment horizontal="center" vertical="center"/>
    </xf>
    <xf numFmtId="9" fontId="57" fillId="7" borderId="6" xfId="2" applyFont="1" applyFill="1" applyBorder="1" applyAlignment="1" applyProtection="1">
      <alignment horizontal="center" vertical="center" wrapText="1"/>
    </xf>
    <xf numFmtId="9" fontId="57" fillId="7" borderId="3" xfId="2" applyFont="1" applyFill="1" applyBorder="1" applyAlignment="1" applyProtection="1">
      <alignment horizontal="center" vertical="center" wrapText="1"/>
    </xf>
    <xf numFmtId="9" fontId="57" fillId="7" borderId="7" xfId="2" applyFont="1" applyFill="1" applyBorder="1" applyAlignment="1" applyProtection="1">
      <alignment horizontal="center" vertical="center" wrapText="1"/>
    </xf>
    <xf numFmtId="0" fontId="50" fillId="3" borderId="167" xfId="0" applyFont="1" applyFill="1" applyBorder="1" applyAlignment="1">
      <alignment horizontal="center" vertical="center" wrapText="1"/>
    </xf>
    <xf numFmtId="0" fontId="50" fillId="3" borderId="173" xfId="0" applyFont="1" applyFill="1" applyBorder="1" applyAlignment="1">
      <alignment horizontal="center" vertical="center" wrapText="1"/>
    </xf>
    <xf numFmtId="0" fontId="46" fillId="3" borderId="166" xfId="0" applyFont="1" applyFill="1" applyBorder="1" applyAlignment="1">
      <alignment horizontal="left" vertical="center" wrapText="1"/>
    </xf>
    <xf numFmtId="0" fontId="46" fillId="3" borderId="172" xfId="0" applyFont="1" applyFill="1" applyBorder="1" applyAlignment="1">
      <alignment horizontal="left" vertical="center" wrapText="1"/>
    </xf>
    <xf numFmtId="0" fontId="46" fillId="3" borderId="20" xfId="0" applyFont="1" applyFill="1" applyBorder="1" applyAlignment="1">
      <alignment horizontal="left" vertical="center" wrapText="1"/>
    </xf>
    <xf numFmtId="0" fontId="46" fillId="3" borderId="0" xfId="0" applyFont="1" applyFill="1" applyAlignment="1">
      <alignment horizontal="left" vertical="center" wrapText="1"/>
    </xf>
    <xf numFmtId="0" fontId="46" fillId="3" borderId="19" xfId="0" applyFont="1" applyFill="1" applyBorder="1" applyAlignment="1">
      <alignment horizontal="left" vertical="center" wrapText="1"/>
    </xf>
    <xf numFmtId="0" fontId="50" fillId="3" borderId="87" xfId="0" applyFont="1" applyFill="1" applyBorder="1" applyAlignment="1">
      <alignment horizontal="center" vertical="center" wrapText="1"/>
    </xf>
    <xf numFmtId="0" fontId="50" fillId="3" borderId="76" xfId="0" applyFont="1" applyFill="1" applyBorder="1" applyAlignment="1">
      <alignment horizontal="center" vertical="center" wrapText="1"/>
    </xf>
    <xf numFmtId="0" fontId="50" fillId="3" borderId="10" xfId="0" applyFont="1" applyFill="1" applyBorder="1" applyAlignment="1">
      <alignment horizontal="center" vertical="center" wrapText="1"/>
    </xf>
    <xf numFmtId="0" fontId="49" fillId="3" borderId="166" xfId="0" applyFont="1" applyFill="1" applyBorder="1" applyAlignment="1">
      <alignment horizontal="center" vertical="center" wrapText="1"/>
    </xf>
    <xf numFmtId="0" fontId="49" fillId="3" borderId="169" xfId="0" applyFont="1" applyFill="1" applyBorder="1" applyAlignment="1">
      <alignment horizontal="center" vertical="center" wrapText="1"/>
    </xf>
    <xf numFmtId="0" fontId="49" fillId="3" borderId="172" xfId="0" applyFont="1" applyFill="1" applyBorder="1" applyAlignment="1">
      <alignment horizontal="center" vertical="center" wrapText="1"/>
    </xf>
    <xf numFmtId="0" fontId="50" fillId="3" borderId="170" xfId="0" applyFont="1" applyFill="1" applyBorder="1" applyAlignment="1">
      <alignment horizontal="center" vertical="center" wrapText="1"/>
    </xf>
    <xf numFmtId="0" fontId="39" fillId="3" borderId="171" xfId="0" applyFont="1" applyFill="1" applyBorder="1" applyAlignment="1">
      <alignment horizontal="left" vertical="center" wrapText="1"/>
    </xf>
    <xf numFmtId="0" fontId="39" fillId="3" borderId="89" xfId="0" applyFont="1" applyFill="1" applyBorder="1" applyAlignment="1">
      <alignment horizontal="left" vertical="center" wrapText="1"/>
    </xf>
    <xf numFmtId="0" fontId="39" fillId="3" borderId="11" xfId="0" applyFont="1" applyFill="1" applyBorder="1" applyAlignment="1">
      <alignment horizontal="left" vertical="center" wrapText="1"/>
    </xf>
    <xf numFmtId="0" fontId="39" fillId="3" borderId="88" xfId="0" applyFont="1" applyFill="1" applyBorder="1" applyAlignment="1">
      <alignment horizontal="left" vertical="center" wrapText="1"/>
    </xf>
    <xf numFmtId="0" fontId="46" fillId="3" borderId="169" xfId="0" applyFont="1" applyFill="1" applyBorder="1" applyAlignment="1">
      <alignment horizontal="left" vertical="center" wrapText="1"/>
    </xf>
    <xf numFmtId="0" fontId="3" fillId="8" borderId="25" xfId="0" applyFont="1" applyFill="1" applyBorder="1" applyAlignment="1">
      <alignment horizontal="center"/>
    </xf>
    <xf numFmtId="0" fontId="3" fillId="8" borderId="9" xfId="0" applyFont="1" applyFill="1" applyBorder="1" applyAlignment="1">
      <alignment horizontal="center"/>
    </xf>
    <xf numFmtId="169" fontId="56" fillId="6" borderId="6" xfId="2" applyNumberFormat="1" applyFont="1" applyFill="1" applyBorder="1" applyAlignment="1" applyProtection="1">
      <alignment horizontal="center" vertical="center" wrapText="1"/>
    </xf>
    <xf numFmtId="169" fontId="56" fillId="6" borderId="7" xfId="2" applyNumberFormat="1" applyFont="1" applyFill="1" applyBorder="1" applyAlignment="1" applyProtection="1">
      <alignment horizontal="center" vertical="center" wrapText="1"/>
    </xf>
    <xf numFmtId="169" fontId="56" fillId="6" borderId="3" xfId="2" applyNumberFormat="1" applyFont="1" applyFill="1" applyBorder="1" applyAlignment="1" applyProtection="1">
      <alignment horizontal="center" vertical="center" wrapText="1"/>
    </xf>
    <xf numFmtId="172" fontId="56" fillId="6" borderId="6" xfId="1" applyNumberFormat="1" applyFont="1" applyFill="1" applyBorder="1" applyAlignment="1" applyProtection="1">
      <alignment horizontal="center" vertical="center" wrapText="1"/>
    </xf>
    <xf numFmtId="172" fontId="56" fillId="6" borderId="7" xfId="1" applyNumberFormat="1" applyFont="1" applyFill="1" applyBorder="1" applyAlignment="1" applyProtection="1">
      <alignment horizontal="center" vertical="center" wrapText="1"/>
    </xf>
    <xf numFmtId="172" fontId="56" fillId="6" borderId="3" xfId="1" applyNumberFormat="1" applyFont="1" applyFill="1" applyBorder="1" applyAlignment="1" applyProtection="1">
      <alignment horizontal="center" vertical="center" wrapText="1"/>
    </xf>
    <xf numFmtId="172" fontId="56" fillId="6" borderId="6" xfId="1" applyNumberFormat="1" applyFont="1" applyFill="1" applyBorder="1" applyAlignment="1" applyProtection="1">
      <alignment horizontal="center" vertical="center"/>
    </xf>
    <xf numFmtId="172" fontId="56" fillId="6" borderId="7" xfId="1" applyNumberFormat="1" applyFont="1" applyFill="1" applyBorder="1" applyAlignment="1" applyProtection="1">
      <alignment horizontal="center" vertical="center"/>
    </xf>
    <xf numFmtId="172" fontId="56" fillId="6" borderId="3" xfId="1" applyNumberFormat="1" applyFont="1" applyFill="1" applyBorder="1" applyAlignment="1" applyProtection="1">
      <alignment horizontal="center" vertical="center"/>
    </xf>
    <xf numFmtId="0" fontId="23" fillId="3" borderId="165" xfId="0" applyFont="1" applyFill="1" applyBorder="1" applyAlignment="1">
      <alignment horizontal="left" vertical="center" wrapText="1"/>
    </xf>
    <xf numFmtId="0" fontId="23" fillId="3" borderId="168" xfId="0" applyFont="1" applyFill="1" applyBorder="1" applyAlignment="1">
      <alignment horizontal="left" vertical="center" wrapText="1"/>
    </xf>
    <xf numFmtId="0" fontId="23" fillId="3" borderId="171" xfId="0" applyFont="1" applyFill="1" applyBorder="1" applyAlignment="1">
      <alignment horizontal="left" vertical="center" wrapText="1"/>
    </xf>
    <xf numFmtId="0" fontId="52" fillId="3" borderId="166" xfId="0" applyFont="1" applyFill="1" applyBorder="1" applyAlignment="1">
      <alignment horizontal="left" vertical="center" wrapText="1"/>
    </xf>
    <xf numFmtId="0" fontId="52" fillId="3" borderId="169" xfId="0" applyFont="1" applyFill="1" applyBorder="1" applyAlignment="1">
      <alignment horizontal="left" vertical="center" wrapText="1"/>
    </xf>
    <xf numFmtId="0" fontId="52" fillId="3" borderId="172" xfId="0" applyFont="1" applyFill="1" applyBorder="1" applyAlignment="1">
      <alignment horizontal="left" vertical="center" wrapText="1"/>
    </xf>
    <xf numFmtId="0" fontId="49" fillId="3" borderId="167" xfId="0" applyFont="1" applyFill="1" applyBorder="1" applyAlignment="1">
      <alignment horizontal="center" vertical="center" wrapText="1"/>
    </xf>
    <xf numFmtId="0" fontId="49" fillId="3" borderId="170" xfId="0" applyFont="1" applyFill="1" applyBorder="1" applyAlignment="1">
      <alignment horizontal="center" vertical="center" wrapText="1"/>
    </xf>
    <xf numFmtId="0" fontId="49" fillId="3" borderId="173" xfId="0" applyFont="1" applyFill="1" applyBorder="1" applyAlignment="1">
      <alignment horizontal="center" vertical="center" wrapText="1"/>
    </xf>
    <xf numFmtId="173" fontId="62" fillId="6" borderId="111" xfId="0" applyNumberFormat="1" applyFont="1" applyFill="1" applyBorder="1" applyAlignment="1">
      <alignment horizontal="center" vertical="center" wrapText="1"/>
    </xf>
    <xf numFmtId="173" fontId="62" fillId="6" borderId="113" xfId="0" applyNumberFormat="1" applyFont="1" applyFill="1" applyBorder="1" applyAlignment="1">
      <alignment horizontal="center" vertical="center" wrapText="1"/>
    </xf>
    <xf numFmtId="173" fontId="62" fillId="6" borderId="112" xfId="0" applyNumberFormat="1" applyFont="1" applyFill="1" applyBorder="1" applyAlignment="1">
      <alignment horizontal="center" vertical="center" wrapText="1"/>
    </xf>
    <xf numFmtId="169" fontId="56" fillId="6" borderId="6" xfId="2" applyNumberFormat="1" applyFont="1" applyFill="1" applyBorder="1" applyAlignment="1" applyProtection="1">
      <alignment horizontal="center" vertical="center"/>
    </xf>
    <xf numFmtId="169" fontId="56" fillId="6" borderId="7" xfId="2" applyNumberFormat="1" applyFont="1" applyFill="1" applyBorder="1" applyAlignment="1" applyProtection="1">
      <alignment horizontal="center" vertical="center"/>
    </xf>
    <xf numFmtId="169" fontId="56" fillId="6" borderId="3" xfId="2" applyNumberFormat="1" applyFont="1" applyFill="1" applyBorder="1" applyAlignment="1" applyProtection="1">
      <alignment horizontal="center" vertical="center"/>
    </xf>
    <xf numFmtId="0" fontId="39" fillId="3" borderId="230" xfId="0" applyFont="1" applyFill="1" applyBorder="1" applyAlignment="1">
      <alignment horizontal="left" vertical="center" wrapText="1"/>
    </xf>
  </cellXfs>
  <cellStyles count="10">
    <cellStyle name="Migliaia" xfId="1" builtinId="3"/>
    <cellStyle name="Migliaia 2" xfId="3" xr:uid="{00000000-0005-0000-0000-000001000000}"/>
    <cellStyle name="Migliaia 2 2" xfId="9" xr:uid="{00000000-0005-0000-0000-000002000000}"/>
    <cellStyle name="Migliaia 3" xfId="8" xr:uid="{00000000-0005-0000-0000-000003000000}"/>
    <cellStyle name="Normale" xfId="0" builtinId="0"/>
    <cellStyle name="Normale 2" xfId="4" xr:uid="{00000000-0005-0000-0000-000005000000}"/>
    <cellStyle name="Normale 2 2" xfId="5" xr:uid="{00000000-0005-0000-0000-000006000000}"/>
    <cellStyle name="Normale 3" xfId="6" xr:uid="{00000000-0005-0000-0000-000007000000}"/>
    <cellStyle name="Percentuale" xfId="2" builtinId="5"/>
    <cellStyle name="Percentuale 2 2" xfId="7" xr:uid="{00000000-0005-0000-0000-000009000000}"/>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theme="1" tint="0.34998626667073579"/>
      </font>
      <fill>
        <patternFill>
          <bgColor theme="0" tint="-0.14996795556505021"/>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b/>
        <i val="0"/>
        <color theme="0"/>
      </font>
      <fill>
        <patternFill>
          <bgColor theme="1" tint="0.34998626667073579"/>
        </patternFill>
      </fill>
      <border>
        <vertical/>
        <horizontal/>
      </border>
    </dxf>
    <dxf>
      <font>
        <b/>
        <i val="0"/>
        <color theme="1" tint="0.34998626667073579"/>
      </font>
      <fill>
        <patternFill>
          <bgColor theme="0" tint="-0.14996795556505021"/>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b/>
        <i val="0"/>
        <color theme="0"/>
      </font>
      <fill>
        <patternFill>
          <bgColor theme="1" tint="0.34998626667073579"/>
        </patternFill>
      </fill>
      <border>
        <vertical/>
        <horizontal/>
      </border>
    </dxf>
    <dxf>
      <font>
        <b/>
        <i val="0"/>
        <color theme="1" tint="0.34998626667073579"/>
      </font>
      <fill>
        <patternFill>
          <bgColor theme="0" tint="-0.14996795556505021"/>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b/>
        <i val="0"/>
        <color theme="0"/>
      </font>
      <fill>
        <patternFill>
          <bgColor theme="1" tint="0.34998626667073579"/>
        </patternFill>
      </fill>
      <border>
        <left style="thin">
          <color theme="6" tint="-0.499984740745262"/>
        </left>
        <right style="thin">
          <color theme="6" tint="-0.499984740745262"/>
        </right>
        <top style="thin">
          <color theme="6" tint="-0.499984740745262"/>
        </top>
        <bottom style="thin">
          <color theme="6" tint="-0.499984740745262"/>
        </bottom>
        <vertical/>
        <horizontal/>
      </border>
    </dxf>
    <dxf>
      <font>
        <b/>
        <i val="0"/>
        <color theme="1" tint="0.34998626667073579"/>
      </font>
      <fill>
        <patternFill>
          <bgColor theme="0" tint="-0.14996795556505021"/>
        </patternFill>
      </fill>
      <border>
        <left style="thin">
          <color theme="6" tint="-0.499984740745262"/>
        </left>
        <right style="thin">
          <color theme="6" tint="-0.499984740745262"/>
        </right>
        <top style="thin">
          <color theme="6" tint="-0.499984740745262"/>
        </top>
        <bottom style="thin">
          <color theme="6" tint="-0.499984740745262"/>
        </bottom>
      </border>
    </dxf>
    <dxf>
      <font>
        <b/>
        <i val="0"/>
        <color theme="0"/>
      </font>
      <fill>
        <patternFill>
          <bgColor rgb="FF595959"/>
        </patternFill>
      </fill>
      <border>
        <left style="thin">
          <color auto="1"/>
        </left>
        <right style="thin">
          <color auto="1"/>
        </right>
        <top style="thin">
          <color auto="1"/>
        </top>
        <bottom style="thin">
          <color auto="1"/>
        </bottom>
        <vertical/>
        <horizontal/>
      </border>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4.9989318521683403E-2"/>
        </patternFill>
      </fill>
    </dxf>
    <dxf>
      <fill>
        <patternFill>
          <bgColor theme="0"/>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FFFCC"/>
      <color rgb="FFFFFF66"/>
      <color rgb="FF595959"/>
      <color rgb="FF821B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288925</xdr:colOff>
      <xdr:row>5</xdr:row>
      <xdr:rowOff>22225</xdr:rowOff>
    </xdr:from>
    <xdr:ext cx="2460032" cy="416204"/>
    <mc:AlternateContent xmlns:mc="http://schemas.openxmlformats.org/markup-compatibility/2006" xmlns:a14="http://schemas.microsoft.com/office/drawing/2010/main">
      <mc:Choice Requires="a14">
        <xdr:sp macro="" textlink="">
          <xdr:nvSpPr>
            <xdr:cNvPr id="2" name="CasellaDiTesto 1">
              <a:extLst>
                <a:ext uri="{FF2B5EF4-FFF2-40B4-BE49-F238E27FC236}">
                  <a16:creationId xmlns:a16="http://schemas.microsoft.com/office/drawing/2014/main" id="{00000000-0008-0000-0500-000002000000}"/>
                </a:ext>
              </a:extLst>
            </xdr:cNvPr>
            <xdr:cNvSpPr txBox="1"/>
          </xdr:nvSpPr>
          <xdr:spPr>
            <a:xfrm>
              <a:off x="5019675" y="2041525"/>
              <a:ext cx="2460032" cy="4162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𝑃𝐸</m:t>
                        </m:r>
                      </m:e>
                      <m:sub>
                        <m:r>
                          <a:rPr lang="it-IT" sz="1100" b="0" i="1">
                            <a:latin typeface="Cambria Math" panose="02040503050406030204" pitchFamily="18" charset="0"/>
                          </a:rPr>
                          <m:t>𝐴𝑆</m:t>
                        </m:r>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1</m:t>
                        </m:r>
                      </m:sub>
                    </m:sSub>
                    <m:r>
                      <a:rPr lang="it-IT" sz="110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30×</m:t>
                    </m:r>
                    <m:sSup>
                      <m:sSupPr>
                        <m:ctrlPr>
                          <a:rPr lang="it-IT" sz="1100" b="0" i="1">
                            <a:latin typeface="Cambria Math" panose="02040503050406030204" pitchFamily="18" charset="0"/>
                            <a:ea typeface="Cambria Math" panose="02040503050406030204" pitchFamily="18" charset="0"/>
                          </a:rPr>
                        </m:ctrlPr>
                      </m:sSupPr>
                      <m:e>
                        <m:d>
                          <m:dPr>
                            <m:ctrlPr>
                              <a:rPr lang="it-IT" sz="1100" b="0" i="1">
                                <a:latin typeface="Cambria Math" panose="02040503050406030204" pitchFamily="18" charset="0"/>
                                <a:ea typeface="Cambria Math" panose="02040503050406030204" pitchFamily="18" charset="0"/>
                              </a:rPr>
                            </m:ctrlPr>
                          </m:dPr>
                          <m:e>
                            <m:f>
                              <m:fPr>
                                <m:ctrlPr>
                                  <a:rPr lang="it-IT" sz="1100" b="0" i="1">
                                    <a:latin typeface="Cambria Math" panose="02040503050406030204" pitchFamily="18" charset="0"/>
                                    <a:ea typeface="Cambria Math" panose="02040503050406030204" pitchFamily="18" charset="0"/>
                                  </a:rPr>
                                </m:ctrlPr>
                              </m:fPr>
                              <m:num>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1 </m:t>
                                    </m:r>
                                  </m:sub>
                                </m:sSub>
                              </m:num>
                              <m:den>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𝑚𝑎𝑥</m:t>
                                    </m:r>
                                  </m:sub>
                                </m:sSub>
                              </m:den>
                            </m:f>
                          </m:e>
                        </m:d>
                      </m:e>
                      <m:sup>
                        <m:r>
                          <a:rPr lang="it-IT" sz="1100" b="0" i="1">
                            <a:latin typeface="Cambria Math" panose="02040503050406030204" pitchFamily="18" charset="0"/>
                            <a:ea typeface="Cambria Math" panose="02040503050406030204" pitchFamily="18" charset="0"/>
                          </a:rPr>
                          <m:t>0,5</m:t>
                        </m:r>
                      </m:sup>
                    </m:sSup>
                    <m:r>
                      <a:rPr lang="it-IT" sz="1100" b="0" i="1">
                        <a:latin typeface="Cambria Math" panose="02040503050406030204" pitchFamily="18" charset="0"/>
                        <a:ea typeface="Cambria Math" panose="02040503050406030204" pitchFamily="18" charset="0"/>
                      </a:rPr>
                      <m:t> </m:t>
                    </m:r>
                  </m:oMath>
                </m:oMathPara>
              </a14:m>
              <a:endParaRPr lang="it-IT" sz="1100"/>
            </a:p>
          </xdr:txBody>
        </xdr:sp>
      </mc:Choice>
      <mc:Fallback xmlns="">
        <xdr:sp macro="" textlink="">
          <xdr:nvSpPr>
            <xdr:cNvPr id="2" name="CasellaDiTesto 1"/>
            <xdr:cNvSpPr txBox="1"/>
          </xdr:nvSpPr>
          <xdr:spPr>
            <a:xfrm>
              <a:off x="5019675" y="2041525"/>
              <a:ext cx="2460032" cy="4162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it-IT" sz="1100" i="0">
                  <a:latin typeface="Cambria Math" panose="02040503050406030204" pitchFamily="18" charset="0"/>
                </a:rPr>
                <a:t>〖</a:t>
              </a:r>
              <a:r>
                <a:rPr lang="it-IT" sz="1100" b="0" i="0">
                  <a:latin typeface="Cambria Math" panose="02040503050406030204" pitchFamily="18" charset="0"/>
                </a:rPr>
                <a:t>𝑃𝐸〗_(𝐴𝑆, 𝑓𝑜𝑟𝑛𝑖𝑡𝑜𝑟𝑒 1)</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30×(𝑅_(𝑓𝑜𝑟𝑛𝑖𝑡𝑜𝑟𝑒 1 )/𝑅_𝑚𝑎𝑥 )^0,5  </a:t>
              </a:r>
              <a:endParaRPr lang="it-IT" sz="1100"/>
            </a:p>
          </xdr:txBody>
        </xdr:sp>
      </mc:Fallback>
    </mc:AlternateContent>
    <xdr:clientData/>
  </xdr:oneCellAnchor>
  <xdr:oneCellAnchor>
    <xdr:from>
      <xdr:col>5</xdr:col>
      <xdr:colOff>747536</xdr:colOff>
      <xdr:row>2</xdr:row>
      <xdr:rowOff>53975</xdr:rowOff>
    </xdr:from>
    <xdr:ext cx="2184957" cy="370422"/>
    <mc:AlternateContent xmlns:mc="http://schemas.openxmlformats.org/markup-compatibility/2006" xmlns:a14="http://schemas.microsoft.com/office/drawing/2010/main">
      <mc:Choice Requires="a14">
        <xdr:sp macro="" textlink="">
          <xdr:nvSpPr>
            <xdr:cNvPr id="3" name="CasellaDiTesto 2">
              <a:extLst>
                <a:ext uri="{FF2B5EF4-FFF2-40B4-BE49-F238E27FC236}">
                  <a16:creationId xmlns:a16="http://schemas.microsoft.com/office/drawing/2014/main" id="{00000000-0008-0000-0500-000003000000}"/>
                </a:ext>
              </a:extLst>
            </xdr:cNvPr>
            <xdr:cNvSpPr txBox="1"/>
          </xdr:nvSpPr>
          <xdr:spPr>
            <a:xfrm>
              <a:off x="5820480" y="703086"/>
              <a:ext cx="2184957" cy="3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𝑅</m:t>
                        </m:r>
                      </m:e>
                      <m:sub>
                        <m:r>
                          <a:rPr lang="it-IT" sz="1100" b="0" i="1">
                            <a:latin typeface="Cambria Math" panose="02040503050406030204" pitchFamily="18" charset="0"/>
                          </a:rPr>
                          <m:t>𝐶</m:t>
                        </m:r>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1</m:t>
                        </m:r>
                      </m:sub>
                    </m:sSub>
                    <m:r>
                      <a:rPr lang="it-IT" sz="110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1−</m:t>
                    </m:r>
                    <m:f>
                      <m:fPr>
                        <m:ctrlPr>
                          <a:rPr lang="it-IT" sz="1100" b="0" i="1">
                            <a:latin typeface="Cambria Math" panose="02040503050406030204" pitchFamily="18" charset="0"/>
                            <a:ea typeface="Cambria Math" panose="02040503050406030204" pitchFamily="18" charset="0"/>
                          </a:rPr>
                        </m:ctrlPr>
                      </m:fPr>
                      <m:num>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𝑂𝑃𝐹</m:t>
                            </m:r>
                          </m:e>
                          <m:sub>
                            <m:r>
                              <a:rPr lang="it-IT" sz="1100" b="0" i="1">
                                <a:latin typeface="Cambria Math" panose="02040503050406030204" pitchFamily="18" charset="0"/>
                                <a:ea typeface="Cambria Math" panose="02040503050406030204" pitchFamily="18" charset="0"/>
                              </a:rPr>
                              <m:t>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1</m:t>
                            </m:r>
                          </m:sub>
                        </m:sSub>
                      </m:num>
                      <m:den>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𝑂𝑃𝐹</m:t>
                            </m:r>
                          </m:e>
                          <m:sub>
                            <m:r>
                              <a:rPr lang="it-IT" sz="1100" b="0" i="1">
                                <a:latin typeface="Cambria Math" panose="02040503050406030204" pitchFamily="18" charset="0"/>
                                <a:ea typeface="Cambria Math" panose="02040503050406030204" pitchFamily="18" charset="0"/>
                              </a:rPr>
                              <m:t>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𝐵𝐴</m:t>
                            </m:r>
                          </m:sub>
                        </m:sSub>
                      </m:den>
                    </m:f>
                    <m:r>
                      <a:rPr lang="it-IT" sz="1100" b="0" i="1">
                        <a:latin typeface="Cambria Math" panose="02040503050406030204" pitchFamily="18" charset="0"/>
                        <a:ea typeface="Cambria Math" panose="02040503050406030204" pitchFamily="18" charset="0"/>
                      </a:rPr>
                      <m:t> </m:t>
                    </m:r>
                  </m:oMath>
                </m:oMathPara>
              </a14:m>
              <a:endParaRPr lang="it-IT" sz="1100"/>
            </a:p>
          </xdr:txBody>
        </xdr:sp>
      </mc:Choice>
      <mc:Fallback xmlns="">
        <xdr:sp macro="" textlink="">
          <xdr:nvSpPr>
            <xdr:cNvPr id="3" name="CasellaDiTesto 2"/>
            <xdr:cNvSpPr txBox="1"/>
          </xdr:nvSpPr>
          <xdr:spPr>
            <a:xfrm>
              <a:off x="5820480" y="703086"/>
              <a:ext cx="2184957" cy="3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it-IT" sz="1100" b="0" i="0">
                  <a:latin typeface="Cambria Math" panose="02040503050406030204" pitchFamily="18" charset="0"/>
                </a:rPr>
                <a:t>𝑅_(𝐶, 𝑓𝑜𝑟𝑛𝑖𝑡𝑜𝑟𝑒 1)</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1−〖𝑂𝑃𝐹〗_(𝐶, 𝑓𝑜𝑟𝑛𝑖𝑡𝑜𝑟𝑒 1)/〖𝑂𝑃𝐹〗_(𝐶, 𝐵𝐴)   </a:t>
              </a:r>
              <a:endParaRPr lang="it-IT" sz="1100"/>
            </a:p>
          </xdr:txBody>
        </xdr:sp>
      </mc:Fallback>
    </mc:AlternateContent>
    <xdr:clientData/>
  </xdr:oneCellAnchor>
  <xdr:oneCellAnchor>
    <xdr:from>
      <xdr:col>5</xdr:col>
      <xdr:colOff>439208</xdr:colOff>
      <xdr:row>3</xdr:row>
      <xdr:rowOff>54680</xdr:rowOff>
    </xdr:from>
    <xdr:ext cx="2801921" cy="379784"/>
    <mc:AlternateContent xmlns:mc="http://schemas.openxmlformats.org/markup-compatibility/2006" xmlns:a14="http://schemas.microsoft.com/office/drawing/2010/main">
      <mc:Choice Requires="a14">
        <xdr:sp macro="" textlink="">
          <xdr:nvSpPr>
            <xdr:cNvPr id="4" name="CasellaDiTesto 3">
              <a:extLst>
                <a:ext uri="{FF2B5EF4-FFF2-40B4-BE49-F238E27FC236}">
                  <a16:creationId xmlns:a16="http://schemas.microsoft.com/office/drawing/2014/main" id="{00000000-0008-0000-0500-000004000000}"/>
                </a:ext>
              </a:extLst>
            </xdr:cNvPr>
            <xdr:cNvSpPr txBox="1"/>
          </xdr:nvSpPr>
          <xdr:spPr>
            <a:xfrm>
              <a:off x="5512152" y="1162402"/>
              <a:ext cx="2801921" cy="3797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𝑅</m:t>
                        </m:r>
                      </m:e>
                      <m:sub>
                        <m:r>
                          <a:rPr lang="it-IT" sz="1100" b="0" i="1">
                            <a:latin typeface="Cambria Math" panose="02040503050406030204" pitchFamily="18" charset="0"/>
                          </a:rPr>
                          <m:t>𝐸𝐶</m:t>
                        </m:r>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1</m:t>
                        </m:r>
                      </m:sub>
                    </m:sSub>
                    <m:r>
                      <a:rPr lang="it-IT" sz="110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1−</m:t>
                    </m:r>
                    <m:f>
                      <m:fPr>
                        <m:ctrlPr>
                          <a:rPr lang="it-IT" sz="1100" b="0" i="1">
                            <a:latin typeface="Cambria Math" panose="02040503050406030204" pitchFamily="18" charset="0"/>
                            <a:ea typeface="Cambria Math" panose="02040503050406030204" pitchFamily="18" charset="0"/>
                          </a:rPr>
                        </m:ctrlPr>
                      </m:fPr>
                      <m:num>
                        <m:nary>
                          <m:naryPr>
                            <m:chr m:val="∑"/>
                            <m:subHide m:val="on"/>
                            <m:supHide m:val="on"/>
                            <m:ctrlPr>
                              <a:rPr lang="it-IT" sz="1100" b="0" i="1">
                                <a:latin typeface="Cambria Math" panose="02040503050406030204" pitchFamily="18" charset="0"/>
                                <a:ea typeface="Cambria Math" panose="02040503050406030204" pitchFamily="18" charset="0"/>
                              </a:rPr>
                            </m:ctrlPr>
                          </m:naryPr>
                          <m:sub/>
                          <m:sup/>
                          <m:e>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𝑗</m:t>
                                </m:r>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1</m:t>
                                </m:r>
                              </m:sub>
                            </m:sSub>
                            <m:r>
                              <a:rPr lang="it-IT" sz="1100" b="0" i="1">
                                <a:latin typeface="Cambria Math" panose="02040503050406030204" pitchFamily="18" charset="0"/>
                                <a:ea typeface="Cambria Math" panose="02040503050406030204" pitchFamily="18" charset="0"/>
                              </a:rPr>
                              <m:t>×</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𝑃𝐸</m:t>
                                </m:r>
                              </m:e>
                              <m:sub>
                                <m:func>
                                  <m:funcPr>
                                    <m:ctrlPr>
                                      <a:rPr lang="it-IT" sz="1100" b="0" i="1">
                                        <a:latin typeface="Cambria Math" panose="02040503050406030204" pitchFamily="18" charset="0"/>
                                        <a:ea typeface="Cambria Math" panose="02040503050406030204" pitchFamily="18" charset="0"/>
                                      </a:rPr>
                                    </m:ctrlPr>
                                  </m:funcPr>
                                  <m:fName>
                                    <m:r>
                                      <m:rPr>
                                        <m:sty m:val="p"/>
                                      </m:rPr>
                                      <a:rPr lang="it-IT" sz="1100" b="0" i="0">
                                        <a:latin typeface="Cambria Math" panose="02040503050406030204" pitchFamily="18" charset="0"/>
                                        <a:ea typeface="Cambria Math" panose="02040503050406030204" pitchFamily="18" charset="0"/>
                                      </a:rPr>
                                      <m:t>max</m:t>
                                    </m:r>
                                  </m:fName>
                                  <m:e>
                                    <m:r>
                                      <a:rPr lang="it-IT" sz="1100" b="0" i="1">
                                        <a:latin typeface="Cambria Math" panose="02040503050406030204" pitchFamily="18" charset="0"/>
                                        <a:ea typeface="Cambria Math" panose="02040503050406030204" pitchFamily="18" charset="0"/>
                                      </a:rPr>
                                      <m:t>𝑗</m:t>
                                    </m:r>
                                  </m:e>
                                </m:func>
                              </m:sub>
                            </m:sSub>
                          </m:e>
                        </m:nary>
                      </m:num>
                      <m:den>
                        <m:nary>
                          <m:naryPr>
                            <m:chr m:val="∑"/>
                            <m:subHide m:val="on"/>
                            <m:supHide m:val="on"/>
                            <m:ctrlPr>
                              <a:rPr lang="it-IT" sz="1100" b="0" i="1">
                                <a:latin typeface="Cambria Math" panose="02040503050406030204" pitchFamily="18" charset="0"/>
                                <a:ea typeface="Cambria Math" panose="02040503050406030204" pitchFamily="18" charset="0"/>
                              </a:rPr>
                            </m:ctrlPr>
                          </m:naryPr>
                          <m:sub/>
                          <m:sup/>
                          <m:e>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𝑃𝐸</m:t>
                                </m:r>
                              </m:e>
                              <m:sub>
                                <m:func>
                                  <m:funcPr>
                                    <m:ctrlPr>
                                      <a:rPr lang="it-IT" sz="1100" b="0" i="1">
                                        <a:latin typeface="Cambria Math" panose="02040503050406030204" pitchFamily="18" charset="0"/>
                                        <a:ea typeface="Cambria Math" panose="02040503050406030204" pitchFamily="18" charset="0"/>
                                      </a:rPr>
                                    </m:ctrlPr>
                                  </m:funcPr>
                                  <m:fName>
                                    <m:r>
                                      <m:rPr>
                                        <m:sty m:val="p"/>
                                      </m:rPr>
                                      <a:rPr lang="it-IT" sz="1100" b="0" i="0">
                                        <a:latin typeface="Cambria Math" panose="02040503050406030204" pitchFamily="18" charset="0"/>
                                        <a:ea typeface="Cambria Math" panose="02040503050406030204" pitchFamily="18" charset="0"/>
                                      </a:rPr>
                                      <m:t>max</m:t>
                                    </m:r>
                                  </m:fName>
                                  <m:e>
                                    <m:r>
                                      <a:rPr lang="it-IT" sz="1100" b="0" i="1">
                                        <a:latin typeface="Cambria Math" panose="02040503050406030204" pitchFamily="18" charset="0"/>
                                        <a:ea typeface="Cambria Math" panose="02040503050406030204" pitchFamily="18" charset="0"/>
                                      </a:rPr>
                                      <m:t>𝑗</m:t>
                                    </m:r>
                                  </m:e>
                                </m:func>
                              </m:sub>
                            </m:sSub>
                          </m:e>
                        </m:nary>
                      </m:den>
                    </m:f>
                    <m:r>
                      <a:rPr lang="it-IT" sz="1100" b="0" i="1">
                        <a:latin typeface="Cambria Math" panose="02040503050406030204" pitchFamily="18" charset="0"/>
                        <a:ea typeface="Cambria Math" panose="02040503050406030204" pitchFamily="18" charset="0"/>
                      </a:rPr>
                      <m:t> </m:t>
                    </m:r>
                  </m:oMath>
                </m:oMathPara>
              </a14:m>
              <a:endParaRPr lang="it-IT" sz="1100"/>
            </a:p>
          </xdr:txBody>
        </xdr:sp>
      </mc:Choice>
      <mc:Fallback xmlns="">
        <xdr:sp macro="" textlink="">
          <xdr:nvSpPr>
            <xdr:cNvPr id="4" name="CasellaDiTesto 3"/>
            <xdr:cNvSpPr txBox="1"/>
          </xdr:nvSpPr>
          <xdr:spPr>
            <a:xfrm>
              <a:off x="5512152" y="1162402"/>
              <a:ext cx="2801921" cy="3797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it-IT" sz="1100" b="0" i="0">
                  <a:latin typeface="Cambria Math" panose="02040503050406030204" pitchFamily="18" charset="0"/>
                </a:rPr>
                <a:t>𝑅_(𝐸𝐶, 𝑓𝑜𝑟𝑛𝑖𝑡𝑜𝑟𝑒 1)</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1−(∑▒〖𝑅_(𝑗,𝑓𝑜𝑟𝑛𝑖𝑡𝑜𝑟𝑒 1)×〖𝑃𝐸〗_max⁡𝑗  〗)/(∑▒〖𝑃𝐸〗_max⁡𝑗  )  </a:t>
              </a:r>
              <a:endParaRPr lang="it-IT" sz="1100"/>
            </a:p>
          </xdr:txBody>
        </xdr:sp>
      </mc:Fallback>
    </mc:AlternateContent>
    <xdr:clientData/>
  </xdr:oneCellAnchor>
  <xdr:oneCellAnchor>
    <xdr:from>
      <xdr:col>5</xdr:col>
      <xdr:colOff>51857</xdr:colOff>
      <xdr:row>4</xdr:row>
      <xdr:rowOff>142875</xdr:rowOff>
    </xdr:from>
    <xdr:ext cx="3673377" cy="183127"/>
    <mc:AlternateContent xmlns:mc="http://schemas.openxmlformats.org/markup-compatibility/2006" xmlns:a14="http://schemas.microsoft.com/office/drawing/2010/main">
      <mc:Choice Requires="a14">
        <xdr:sp macro="" textlink="">
          <xdr:nvSpPr>
            <xdr:cNvPr id="5" name="CasellaDiTesto 4">
              <a:extLst>
                <a:ext uri="{FF2B5EF4-FFF2-40B4-BE49-F238E27FC236}">
                  <a16:creationId xmlns:a16="http://schemas.microsoft.com/office/drawing/2014/main" id="{00000000-0008-0000-0500-000005000000}"/>
                </a:ext>
              </a:extLst>
            </xdr:cNvPr>
            <xdr:cNvSpPr txBox="1"/>
          </xdr:nvSpPr>
          <xdr:spPr>
            <a:xfrm>
              <a:off x="5618690" y="1709208"/>
              <a:ext cx="3673377" cy="183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𝑅</m:t>
                        </m:r>
                      </m:e>
                      <m:sub>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1</m:t>
                        </m:r>
                      </m:sub>
                    </m:sSub>
                    <m:r>
                      <a:rPr lang="it-IT" sz="1100" i="1">
                        <a:latin typeface="Cambria Math" panose="02040503050406030204" pitchFamily="18" charset="0"/>
                        <a:ea typeface="Cambria Math" panose="02040503050406030204" pitchFamily="18" charset="0"/>
                      </a:rPr>
                      <m:t>=</m:t>
                    </m:r>
                    <m:d>
                      <m:dPr>
                        <m:ctrlPr>
                          <a:rPr lang="it-IT" sz="1100" b="0" i="1">
                            <a:latin typeface="Cambria Math" panose="02040503050406030204" pitchFamily="18" charset="0"/>
                            <a:ea typeface="Cambria Math" panose="02040503050406030204" pitchFamily="18" charset="0"/>
                          </a:rPr>
                        </m:ctrlPr>
                      </m:dPr>
                      <m:e>
                        <m:r>
                          <a:rPr lang="it-IT" sz="1100" b="0" i="1">
                            <a:latin typeface="Cambria Math" panose="02040503050406030204" pitchFamily="18" charset="0"/>
                            <a:ea typeface="Cambria Math" panose="02040503050406030204" pitchFamily="18" charset="0"/>
                          </a:rPr>
                          <m:t>1−</m:t>
                        </m:r>
                        <m:r>
                          <a:rPr lang="it-IT" sz="1100" b="0" i="1">
                            <a:latin typeface="Cambria Math" panose="02040503050406030204" pitchFamily="18" charset="0"/>
                            <a:ea typeface="Cambria Math" panose="02040503050406030204" pitchFamily="18" charset="0"/>
                          </a:rPr>
                          <m:t>𝑊</m:t>
                        </m:r>
                      </m:e>
                    </m:d>
                    <m:r>
                      <a:rPr lang="it-IT" sz="1100" b="0" i="1">
                        <a:latin typeface="Cambria Math" panose="02040503050406030204" pitchFamily="18" charset="0"/>
                        <a:ea typeface="Cambria Math" panose="02040503050406030204" pitchFamily="18" charset="0"/>
                      </a:rPr>
                      <m:t> ×</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1</m:t>
                        </m:r>
                      </m:sub>
                    </m:sSub>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𝑊</m:t>
                    </m:r>
                    <m:r>
                      <a:rPr lang="it-IT" sz="1100" b="0" i="1">
                        <a:latin typeface="Cambria Math" panose="02040503050406030204" pitchFamily="18" charset="0"/>
                        <a:ea typeface="Cambria Math" panose="02040503050406030204" pitchFamily="18" charset="0"/>
                      </a:rPr>
                      <m:t>×</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𝐸𝐶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1</m:t>
                        </m:r>
                      </m:sub>
                    </m:sSub>
                  </m:oMath>
                </m:oMathPara>
              </a14:m>
              <a:endParaRPr lang="it-IT" sz="1100"/>
            </a:p>
          </xdr:txBody>
        </xdr:sp>
      </mc:Choice>
      <mc:Fallback xmlns="">
        <xdr:sp macro="" textlink="">
          <xdr:nvSpPr>
            <xdr:cNvPr id="5" name="CasellaDiTesto 4"/>
            <xdr:cNvSpPr txBox="1"/>
          </xdr:nvSpPr>
          <xdr:spPr>
            <a:xfrm>
              <a:off x="5618690" y="1709208"/>
              <a:ext cx="3673377" cy="183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it-IT" sz="1100" b="0" i="0">
                  <a:latin typeface="Cambria Math" panose="02040503050406030204" pitchFamily="18" charset="0"/>
                </a:rPr>
                <a:t>𝑅_( 𝑓𝑜𝑟𝑛𝑖𝑡𝑜𝑟𝑒 1)</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(1−𝑊)  ×𝑅_(𝐶, 𝑓𝑜𝑟𝑛𝑖𝑡𝑜𝑟𝑒 1)+𝑊×𝑅_(𝐸𝐶, 𝑓𝑜𝑟𝑛𝑖𝑡𝑜𝑟𝑒 1)</a:t>
              </a:r>
              <a:endParaRPr lang="it-IT" sz="1100"/>
            </a:p>
          </xdr:txBody>
        </xdr:sp>
      </mc:Fallback>
    </mc:AlternateContent>
    <xdr:clientData/>
  </xdr:oneCellAnchor>
  <xdr:oneCellAnchor>
    <xdr:from>
      <xdr:col>12</xdr:col>
      <xdr:colOff>284693</xdr:colOff>
      <xdr:row>5</xdr:row>
      <xdr:rowOff>13758</xdr:rowOff>
    </xdr:from>
    <xdr:ext cx="2460032" cy="416204"/>
    <mc:AlternateContent xmlns:mc="http://schemas.openxmlformats.org/markup-compatibility/2006" xmlns:a14="http://schemas.microsoft.com/office/drawing/2010/main">
      <mc:Choice Requires="a14">
        <xdr:sp macro="" textlink="">
          <xdr:nvSpPr>
            <xdr:cNvPr id="6" name="CasellaDiTesto 5">
              <a:extLst>
                <a:ext uri="{FF2B5EF4-FFF2-40B4-BE49-F238E27FC236}">
                  <a16:creationId xmlns:a16="http://schemas.microsoft.com/office/drawing/2014/main" id="{00000000-0008-0000-0500-000006000000}"/>
                </a:ext>
              </a:extLst>
            </xdr:cNvPr>
            <xdr:cNvSpPr txBox="1"/>
          </xdr:nvSpPr>
          <xdr:spPr>
            <a:xfrm>
              <a:off x="13125804" y="2038702"/>
              <a:ext cx="2460032" cy="4162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𝑃𝐸</m:t>
                        </m:r>
                      </m:e>
                      <m:sub>
                        <m:r>
                          <a:rPr lang="it-IT" sz="1100" b="0" i="1">
                            <a:latin typeface="Cambria Math" panose="02040503050406030204" pitchFamily="18" charset="0"/>
                          </a:rPr>
                          <m:t>𝐴𝑆</m:t>
                        </m:r>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2</m:t>
                        </m:r>
                      </m:sub>
                    </m:sSub>
                    <m:r>
                      <a:rPr lang="it-IT" sz="110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30×</m:t>
                    </m:r>
                    <m:sSup>
                      <m:sSupPr>
                        <m:ctrlPr>
                          <a:rPr lang="it-IT" sz="1100" b="0" i="1">
                            <a:latin typeface="Cambria Math" panose="02040503050406030204" pitchFamily="18" charset="0"/>
                            <a:ea typeface="Cambria Math" panose="02040503050406030204" pitchFamily="18" charset="0"/>
                          </a:rPr>
                        </m:ctrlPr>
                      </m:sSupPr>
                      <m:e>
                        <m:d>
                          <m:dPr>
                            <m:ctrlPr>
                              <a:rPr lang="it-IT" sz="1100" b="0" i="1">
                                <a:latin typeface="Cambria Math" panose="02040503050406030204" pitchFamily="18" charset="0"/>
                                <a:ea typeface="Cambria Math" panose="02040503050406030204" pitchFamily="18" charset="0"/>
                              </a:rPr>
                            </m:ctrlPr>
                          </m:dPr>
                          <m:e>
                            <m:f>
                              <m:fPr>
                                <m:ctrlPr>
                                  <a:rPr lang="it-IT" sz="1100" b="0" i="1">
                                    <a:latin typeface="Cambria Math" panose="02040503050406030204" pitchFamily="18" charset="0"/>
                                    <a:ea typeface="Cambria Math" panose="02040503050406030204" pitchFamily="18" charset="0"/>
                                  </a:rPr>
                                </m:ctrlPr>
                              </m:fPr>
                              <m:num>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2 </m:t>
                                    </m:r>
                                  </m:sub>
                                </m:sSub>
                              </m:num>
                              <m:den>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𝑚𝑎𝑥</m:t>
                                    </m:r>
                                  </m:sub>
                                </m:sSub>
                              </m:den>
                            </m:f>
                          </m:e>
                        </m:d>
                      </m:e>
                      <m:sup>
                        <m:r>
                          <a:rPr lang="it-IT" sz="1100" b="0" i="1">
                            <a:latin typeface="Cambria Math" panose="02040503050406030204" pitchFamily="18" charset="0"/>
                            <a:ea typeface="Cambria Math" panose="02040503050406030204" pitchFamily="18" charset="0"/>
                          </a:rPr>
                          <m:t>0,5</m:t>
                        </m:r>
                      </m:sup>
                    </m:sSup>
                    <m:r>
                      <a:rPr lang="it-IT" sz="1100" b="0" i="1">
                        <a:latin typeface="Cambria Math" panose="02040503050406030204" pitchFamily="18" charset="0"/>
                        <a:ea typeface="Cambria Math" panose="02040503050406030204" pitchFamily="18" charset="0"/>
                      </a:rPr>
                      <m:t> </m:t>
                    </m:r>
                  </m:oMath>
                </m:oMathPara>
              </a14:m>
              <a:endParaRPr lang="it-IT" sz="1100"/>
            </a:p>
          </xdr:txBody>
        </xdr:sp>
      </mc:Choice>
      <mc:Fallback xmlns="">
        <xdr:sp macro="" textlink="">
          <xdr:nvSpPr>
            <xdr:cNvPr id="6" name="CasellaDiTesto 5"/>
            <xdr:cNvSpPr txBox="1"/>
          </xdr:nvSpPr>
          <xdr:spPr>
            <a:xfrm>
              <a:off x="13125804" y="2038702"/>
              <a:ext cx="2460032" cy="4162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it-IT" sz="1100" i="0">
                  <a:latin typeface="Cambria Math" panose="02040503050406030204" pitchFamily="18" charset="0"/>
                </a:rPr>
                <a:t>〖</a:t>
              </a:r>
              <a:r>
                <a:rPr lang="it-IT" sz="1100" b="0" i="0">
                  <a:latin typeface="Cambria Math" panose="02040503050406030204" pitchFamily="18" charset="0"/>
                </a:rPr>
                <a:t>𝑃𝐸〗_(𝐴𝑆, 𝑓𝑜𝑟𝑛𝑖𝑡𝑜𝑟𝑒 2)</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30×(𝑅_(𝑓𝑜𝑟𝑛𝑖𝑡𝑜𝑟𝑒 2 )/𝑅_𝑚𝑎𝑥 )^0,5  </a:t>
              </a:r>
              <a:endParaRPr lang="it-IT" sz="1100"/>
            </a:p>
          </xdr:txBody>
        </xdr:sp>
      </mc:Fallback>
    </mc:AlternateContent>
    <xdr:clientData/>
  </xdr:oneCellAnchor>
  <xdr:oneCellAnchor>
    <xdr:from>
      <xdr:col>12</xdr:col>
      <xdr:colOff>411693</xdr:colOff>
      <xdr:row>2</xdr:row>
      <xdr:rowOff>45508</xdr:rowOff>
    </xdr:from>
    <xdr:ext cx="2685696" cy="370422"/>
    <mc:AlternateContent xmlns:mc="http://schemas.openxmlformats.org/markup-compatibility/2006" xmlns:a14="http://schemas.microsoft.com/office/drawing/2010/main">
      <mc:Choice Requires="a14">
        <xdr:sp macro="" textlink="">
          <xdr:nvSpPr>
            <xdr:cNvPr id="7" name="CasellaDiTesto 6">
              <a:extLst>
                <a:ext uri="{FF2B5EF4-FFF2-40B4-BE49-F238E27FC236}">
                  <a16:creationId xmlns:a16="http://schemas.microsoft.com/office/drawing/2014/main" id="{00000000-0008-0000-0500-000007000000}"/>
                </a:ext>
              </a:extLst>
            </xdr:cNvPr>
            <xdr:cNvSpPr txBox="1"/>
          </xdr:nvSpPr>
          <xdr:spPr>
            <a:xfrm>
              <a:off x="13252804" y="694619"/>
              <a:ext cx="2685696" cy="3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𝑅</m:t>
                        </m:r>
                      </m:e>
                      <m:sub>
                        <m:r>
                          <a:rPr lang="it-IT" sz="1100" b="0" i="1">
                            <a:latin typeface="Cambria Math" panose="02040503050406030204" pitchFamily="18" charset="0"/>
                          </a:rPr>
                          <m:t>𝐶</m:t>
                        </m:r>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2</m:t>
                        </m:r>
                      </m:sub>
                    </m:sSub>
                    <m:r>
                      <a:rPr lang="it-IT" sz="110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1−</m:t>
                    </m:r>
                    <m:f>
                      <m:fPr>
                        <m:ctrlPr>
                          <a:rPr lang="it-IT" sz="1100" b="0" i="1">
                            <a:latin typeface="Cambria Math" panose="02040503050406030204" pitchFamily="18" charset="0"/>
                            <a:ea typeface="Cambria Math" panose="02040503050406030204" pitchFamily="18" charset="0"/>
                          </a:rPr>
                        </m:ctrlPr>
                      </m:fPr>
                      <m:num>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𝑂𝑃𝐹</m:t>
                            </m:r>
                          </m:e>
                          <m:sub>
                            <m:r>
                              <a:rPr lang="it-IT" sz="1100" b="0" i="1">
                                <a:latin typeface="Cambria Math" panose="02040503050406030204" pitchFamily="18" charset="0"/>
                                <a:ea typeface="Cambria Math" panose="02040503050406030204" pitchFamily="18" charset="0"/>
                              </a:rPr>
                              <m:t>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2</m:t>
                            </m:r>
                          </m:sub>
                        </m:sSub>
                      </m:num>
                      <m:den>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𝑂𝑃𝐹</m:t>
                            </m:r>
                          </m:e>
                          <m:sub>
                            <m:r>
                              <a:rPr lang="it-IT" sz="1100" b="0" i="1">
                                <a:latin typeface="Cambria Math" panose="02040503050406030204" pitchFamily="18" charset="0"/>
                                <a:ea typeface="Cambria Math" panose="02040503050406030204" pitchFamily="18" charset="0"/>
                              </a:rPr>
                              <m:t>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𝐵𝐴</m:t>
                            </m:r>
                          </m:sub>
                        </m:sSub>
                      </m:den>
                    </m:f>
                    <m:r>
                      <a:rPr lang="it-IT" sz="1100" b="0" i="1">
                        <a:latin typeface="Cambria Math" panose="02040503050406030204" pitchFamily="18" charset="0"/>
                        <a:ea typeface="Cambria Math" panose="02040503050406030204" pitchFamily="18" charset="0"/>
                      </a:rPr>
                      <m:t> </m:t>
                    </m:r>
                  </m:oMath>
                </m:oMathPara>
              </a14:m>
              <a:endParaRPr lang="it-IT" sz="1100"/>
            </a:p>
          </xdr:txBody>
        </xdr:sp>
      </mc:Choice>
      <mc:Fallback xmlns="">
        <xdr:sp macro="" textlink="">
          <xdr:nvSpPr>
            <xdr:cNvPr id="7" name="CasellaDiTesto 6"/>
            <xdr:cNvSpPr txBox="1"/>
          </xdr:nvSpPr>
          <xdr:spPr>
            <a:xfrm>
              <a:off x="13252804" y="694619"/>
              <a:ext cx="2685696" cy="370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it-IT" sz="1100" b="0" i="0">
                  <a:latin typeface="Cambria Math" panose="02040503050406030204" pitchFamily="18" charset="0"/>
                </a:rPr>
                <a:t>𝑅_(𝐶, 𝑓𝑜𝑟𝑛𝑖𝑡𝑜𝑟𝑒 2)</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1−〖𝑂𝑃𝐹〗_(𝐶, 𝑓𝑜𝑟𝑛𝑖𝑡𝑜𝑟𝑒 2)/〖𝑂𝑃𝐹〗_(𝐶, 𝐵𝐴)   </a:t>
              </a:r>
              <a:endParaRPr lang="it-IT" sz="1100"/>
            </a:p>
          </xdr:txBody>
        </xdr:sp>
      </mc:Fallback>
    </mc:AlternateContent>
    <xdr:clientData/>
  </xdr:oneCellAnchor>
  <xdr:oneCellAnchor>
    <xdr:from>
      <xdr:col>12</xdr:col>
      <xdr:colOff>202143</xdr:colOff>
      <xdr:row>3</xdr:row>
      <xdr:rowOff>39158</xdr:rowOff>
    </xdr:from>
    <xdr:ext cx="3177468" cy="379784"/>
    <mc:AlternateContent xmlns:mc="http://schemas.openxmlformats.org/markup-compatibility/2006" xmlns:a14="http://schemas.microsoft.com/office/drawing/2010/main">
      <mc:Choice Requires="a14">
        <xdr:sp macro="" textlink="">
          <xdr:nvSpPr>
            <xdr:cNvPr id="8" name="CasellaDiTesto 7">
              <a:extLst>
                <a:ext uri="{FF2B5EF4-FFF2-40B4-BE49-F238E27FC236}">
                  <a16:creationId xmlns:a16="http://schemas.microsoft.com/office/drawing/2014/main" id="{00000000-0008-0000-0500-000008000000}"/>
                </a:ext>
              </a:extLst>
            </xdr:cNvPr>
            <xdr:cNvSpPr txBox="1"/>
          </xdr:nvSpPr>
          <xdr:spPr>
            <a:xfrm>
              <a:off x="13043254" y="1146880"/>
              <a:ext cx="3177468" cy="3797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𝑅</m:t>
                        </m:r>
                      </m:e>
                      <m:sub>
                        <m:r>
                          <a:rPr lang="it-IT" sz="1100" b="0" i="1">
                            <a:latin typeface="Cambria Math" panose="02040503050406030204" pitchFamily="18" charset="0"/>
                          </a:rPr>
                          <m:t>𝐸𝐶</m:t>
                        </m:r>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2</m:t>
                        </m:r>
                      </m:sub>
                    </m:sSub>
                    <m:r>
                      <a:rPr lang="it-IT" sz="110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1−</m:t>
                    </m:r>
                    <m:f>
                      <m:fPr>
                        <m:ctrlPr>
                          <a:rPr lang="it-IT" sz="1100" b="0" i="1">
                            <a:latin typeface="Cambria Math" panose="02040503050406030204" pitchFamily="18" charset="0"/>
                            <a:ea typeface="Cambria Math" panose="02040503050406030204" pitchFamily="18" charset="0"/>
                          </a:rPr>
                        </m:ctrlPr>
                      </m:fPr>
                      <m:num>
                        <m:nary>
                          <m:naryPr>
                            <m:chr m:val="∑"/>
                            <m:subHide m:val="on"/>
                            <m:supHide m:val="on"/>
                            <m:ctrlPr>
                              <a:rPr lang="it-IT" sz="1100" b="0" i="1">
                                <a:latin typeface="Cambria Math" panose="02040503050406030204" pitchFamily="18" charset="0"/>
                                <a:ea typeface="Cambria Math" panose="02040503050406030204" pitchFamily="18" charset="0"/>
                              </a:rPr>
                            </m:ctrlPr>
                          </m:naryPr>
                          <m:sub/>
                          <m:sup/>
                          <m:e>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𝑗</m:t>
                                </m:r>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2</m:t>
                                </m:r>
                              </m:sub>
                            </m:sSub>
                            <m:r>
                              <a:rPr lang="it-IT" sz="1100" b="0" i="1">
                                <a:latin typeface="Cambria Math" panose="02040503050406030204" pitchFamily="18" charset="0"/>
                                <a:ea typeface="Cambria Math" panose="02040503050406030204" pitchFamily="18" charset="0"/>
                              </a:rPr>
                              <m:t>×</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𝑃𝐸</m:t>
                                </m:r>
                              </m:e>
                              <m:sub>
                                <m:func>
                                  <m:funcPr>
                                    <m:ctrlPr>
                                      <a:rPr lang="it-IT" sz="1100" b="0" i="1">
                                        <a:latin typeface="Cambria Math" panose="02040503050406030204" pitchFamily="18" charset="0"/>
                                        <a:ea typeface="Cambria Math" panose="02040503050406030204" pitchFamily="18" charset="0"/>
                                      </a:rPr>
                                    </m:ctrlPr>
                                  </m:funcPr>
                                  <m:fName>
                                    <m:r>
                                      <m:rPr>
                                        <m:sty m:val="p"/>
                                      </m:rPr>
                                      <a:rPr lang="it-IT" sz="1100" b="0" i="0">
                                        <a:latin typeface="Cambria Math" panose="02040503050406030204" pitchFamily="18" charset="0"/>
                                        <a:ea typeface="Cambria Math" panose="02040503050406030204" pitchFamily="18" charset="0"/>
                                      </a:rPr>
                                      <m:t>max</m:t>
                                    </m:r>
                                  </m:fName>
                                  <m:e>
                                    <m:r>
                                      <a:rPr lang="it-IT" sz="1100" b="0" i="1">
                                        <a:latin typeface="Cambria Math" panose="02040503050406030204" pitchFamily="18" charset="0"/>
                                        <a:ea typeface="Cambria Math" panose="02040503050406030204" pitchFamily="18" charset="0"/>
                                      </a:rPr>
                                      <m:t>𝑗</m:t>
                                    </m:r>
                                  </m:e>
                                </m:func>
                              </m:sub>
                            </m:sSub>
                          </m:e>
                        </m:nary>
                      </m:num>
                      <m:den>
                        <m:nary>
                          <m:naryPr>
                            <m:chr m:val="∑"/>
                            <m:subHide m:val="on"/>
                            <m:supHide m:val="on"/>
                            <m:ctrlPr>
                              <a:rPr lang="it-IT" sz="1100" b="0" i="1">
                                <a:latin typeface="Cambria Math" panose="02040503050406030204" pitchFamily="18" charset="0"/>
                                <a:ea typeface="Cambria Math" panose="02040503050406030204" pitchFamily="18" charset="0"/>
                              </a:rPr>
                            </m:ctrlPr>
                          </m:naryPr>
                          <m:sub/>
                          <m:sup/>
                          <m:e>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𝑃𝐸</m:t>
                                </m:r>
                              </m:e>
                              <m:sub>
                                <m:func>
                                  <m:funcPr>
                                    <m:ctrlPr>
                                      <a:rPr lang="it-IT" sz="1100" b="0" i="1">
                                        <a:latin typeface="Cambria Math" panose="02040503050406030204" pitchFamily="18" charset="0"/>
                                        <a:ea typeface="Cambria Math" panose="02040503050406030204" pitchFamily="18" charset="0"/>
                                      </a:rPr>
                                    </m:ctrlPr>
                                  </m:funcPr>
                                  <m:fName>
                                    <m:r>
                                      <m:rPr>
                                        <m:sty m:val="p"/>
                                      </m:rPr>
                                      <a:rPr lang="it-IT" sz="1100" b="0" i="0">
                                        <a:latin typeface="Cambria Math" panose="02040503050406030204" pitchFamily="18" charset="0"/>
                                        <a:ea typeface="Cambria Math" panose="02040503050406030204" pitchFamily="18" charset="0"/>
                                      </a:rPr>
                                      <m:t>max</m:t>
                                    </m:r>
                                  </m:fName>
                                  <m:e>
                                    <m:r>
                                      <a:rPr lang="it-IT" sz="1100" b="0" i="1">
                                        <a:latin typeface="Cambria Math" panose="02040503050406030204" pitchFamily="18" charset="0"/>
                                        <a:ea typeface="Cambria Math" panose="02040503050406030204" pitchFamily="18" charset="0"/>
                                      </a:rPr>
                                      <m:t>𝑗</m:t>
                                    </m:r>
                                  </m:e>
                                </m:func>
                              </m:sub>
                            </m:sSub>
                          </m:e>
                        </m:nary>
                      </m:den>
                    </m:f>
                    <m:r>
                      <a:rPr lang="it-IT" sz="1100" b="0" i="1">
                        <a:latin typeface="Cambria Math" panose="02040503050406030204" pitchFamily="18" charset="0"/>
                        <a:ea typeface="Cambria Math" panose="02040503050406030204" pitchFamily="18" charset="0"/>
                      </a:rPr>
                      <m:t> </m:t>
                    </m:r>
                  </m:oMath>
                </m:oMathPara>
              </a14:m>
              <a:endParaRPr lang="it-IT" sz="1100"/>
            </a:p>
          </xdr:txBody>
        </xdr:sp>
      </mc:Choice>
      <mc:Fallback xmlns="">
        <xdr:sp macro="" textlink="">
          <xdr:nvSpPr>
            <xdr:cNvPr id="8" name="CasellaDiTesto 7"/>
            <xdr:cNvSpPr txBox="1"/>
          </xdr:nvSpPr>
          <xdr:spPr>
            <a:xfrm>
              <a:off x="13043254" y="1146880"/>
              <a:ext cx="3177468" cy="3797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it-IT" sz="1100" b="0" i="0">
                  <a:latin typeface="Cambria Math" panose="02040503050406030204" pitchFamily="18" charset="0"/>
                </a:rPr>
                <a:t>𝑅_(𝐸𝐶, 𝑓𝑜𝑟𝑛𝑖𝑡𝑜𝑟𝑒 2)</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1−(∑▒〖𝑅_(𝑗,𝑓𝑜𝑟𝑛𝑖𝑡𝑜𝑟𝑒 2)×〖𝑃𝐸〗_max⁡𝑗  〗)/(∑▒〖𝑃𝐸〗_max⁡𝑗  )  </a:t>
              </a:r>
              <a:endParaRPr lang="it-IT" sz="1100"/>
            </a:p>
          </xdr:txBody>
        </xdr:sp>
      </mc:Fallback>
    </mc:AlternateContent>
    <xdr:clientData/>
  </xdr:oneCellAnchor>
  <xdr:oneCellAnchor>
    <xdr:from>
      <xdr:col>12</xdr:col>
      <xdr:colOff>47626</xdr:colOff>
      <xdr:row>4</xdr:row>
      <xdr:rowOff>134408</xdr:rowOff>
    </xdr:from>
    <xdr:ext cx="3673377" cy="183127"/>
    <mc:AlternateContent xmlns:mc="http://schemas.openxmlformats.org/markup-compatibility/2006" xmlns:a14="http://schemas.microsoft.com/office/drawing/2010/main">
      <mc:Choice Requires="a14">
        <xdr:sp macro="" textlink="">
          <xdr:nvSpPr>
            <xdr:cNvPr id="9" name="CasellaDiTesto 8">
              <a:extLst>
                <a:ext uri="{FF2B5EF4-FFF2-40B4-BE49-F238E27FC236}">
                  <a16:creationId xmlns:a16="http://schemas.microsoft.com/office/drawing/2014/main" id="{00000000-0008-0000-0500-000009000000}"/>
                </a:ext>
              </a:extLst>
            </xdr:cNvPr>
            <xdr:cNvSpPr txBox="1"/>
          </xdr:nvSpPr>
          <xdr:spPr>
            <a:xfrm>
              <a:off x="13566070" y="1700741"/>
              <a:ext cx="3673377" cy="183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it-IT" sz="1100" i="1">
                            <a:latin typeface="Cambria Math" panose="02040503050406030204" pitchFamily="18" charset="0"/>
                          </a:rPr>
                        </m:ctrlPr>
                      </m:sSubPr>
                      <m:e>
                        <m:r>
                          <a:rPr lang="it-IT" sz="1100" b="0" i="1">
                            <a:latin typeface="Cambria Math" panose="02040503050406030204" pitchFamily="18" charset="0"/>
                          </a:rPr>
                          <m:t>𝑅</m:t>
                        </m:r>
                      </m:e>
                      <m:sub>
                        <m:r>
                          <a:rPr lang="it-IT" sz="1100" b="0" i="1">
                            <a:latin typeface="Cambria Math" panose="02040503050406030204" pitchFamily="18" charset="0"/>
                          </a:rPr>
                          <m:t> </m:t>
                        </m:r>
                        <m:r>
                          <a:rPr lang="it-IT" sz="1100" b="0" i="1">
                            <a:latin typeface="Cambria Math" panose="02040503050406030204" pitchFamily="18" charset="0"/>
                          </a:rPr>
                          <m:t>𝑓𝑜𝑟𝑛𝑖𝑡𝑜𝑟𝑒</m:t>
                        </m:r>
                        <m:r>
                          <a:rPr lang="it-IT" sz="1100" b="0" i="1">
                            <a:latin typeface="Cambria Math" panose="02040503050406030204" pitchFamily="18" charset="0"/>
                          </a:rPr>
                          <m:t> 2</m:t>
                        </m:r>
                      </m:sub>
                    </m:sSub>
                    <m:r>
                      <a:rPr lang="it-IT" sz="1100" i="1">
                        <a:latin typeface="Cambria Math" panose="02040503050406030204" pitchFamily="18" charset="0"/>
                        <a:ea typeface="Cambria Math" panose="02040503050406030204" pitchFamily="18" charset="0"/>
                      </a:rPr>
                      <m:t>=</m:t>
                    </m:r>
                    <m:d>
                      <m:dPr>
                        <m:ctrlPr>
                          <a:rPr lang="it-IT" sz="1100" b="0" i="1">
                            <a:latin typeface="Cambria Math" panose="02040503050406030204" pitchFamily="18" charset="0"/>
                            <a:ea typeface="Cambria Math" panose="02040503050406030204" pitchFamily="18" charset="0"/>
                          </a:rPr>
                        </m:ctrlPr>
                      </m:dPr>
                      <m:e>
                        <m:r>
                          <a:rPr lang="it-IT" sz="1100" b="0" i="1">
                            <a:latin typeface="Cambria Math" panose="02040503050406030204" pitchFamily="18" charset="0"/>
                            <a:ea typeface="Cambria Math" panose="02040503050406030204" pitchFamily="18" charset="0"/>
                          </a:rPr>
                          <m:t>1−</m:t>
                        </m:r>
                        <m:r>
                          <a:rPr lang="it-IT" sz="1100" b="0" i="1">
                            <a:latin typeface="Cambria Math" panose="02040503050406030204" pitchFamily="18" charset="0"/>
                            <a:ea typeface="Cambria Math" panose="02040503050406030204" pitchFamily="18" charset="0"/>
                          </a:rPr>
                          <m:t>𝑊</m:t>
                        </m:r>
                      </m:e>
                    </m:d>
                    <m:r>
                      <a:rPr lang="it-IT" sz="1100" b="0" i="1">
                        <a:latin typeface="Cambria Math" panose="02040503050406030204" pitchFamily="18" charset="0"/>
                        <a:ea typeface="Cambria Math" panose="02040503050406030204" pitchFamily="18" charset="0"/>
                      </a:rPr>
                      <m:t> ×</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2</m:t>
                        </m:r>
                      </m:sub>
                    </m:sSub>
                    <m:r>
                      <a:rPr lang="it-IT" sz="1100" b="0" i="1">
                        <a:latin typeface="Cambria Math" panose="02040503050406030204" pitchFamily="18" charset="0"/>
                        <a:ea typeface="Cambria Math" panose="02040503050406030204" pitchFamily="18" charset="0"/>
                      </a:rPr>
                      <m:t>+</m:t>
                    </m:r>
                    <m:r>
                      <a:rPr lang="it-IT" sz="1100" b="0" i="1">
                        <a:latin typeface="Cambria Math" panose="02040503050406030204" pitchFamily="18" charset="0"/>
                        <a:ea typeface="Cambria Math" panose="02040503050406030204" pitchFamily="18" charset="0"/>
                      </a:rPr>
                      <m:t>𝑊</m:t>
                    </m:r>
                    <m:r>
                      <a:rPr lang="it-IT" sz="1100" b="0" i="1">
                        <a:latin typeface="Cambria Math" panose="02040503050406030204" pitchFamily="18" charset="0"/>
                        <a:ea typeface="Cambria Math" panose="02040503050406030204" pitchFamily="18" charset="0"/>
                      </a:rPr>
                      <m:t>×</m:t>
                    </m:r>
                    <m:sSub>
                      <m:sSubPr>
                        <m:ctrlPr>
                          <a:rPr lang="it-IT" sz="1100" b="0" i="1">
                            <a:latin typeface="Cambria Math" panose="02040503050406030204" pitchFamily="18" charset="0"/>
                            <a:ea typeface="Cambria Math" panose="02040503050406030204" pitchFamily="18" charset="0"/>
                          </a:rPr>
                        </m:ctrlPr>
                      </m:sSubPr>
                      <m:e>
                        <m:r>
                          <a:rPr lang="it-IT" sz="1100" b="0" i="1">
                            <a:latin typeface="Cambria Math" panose="02040503050406030204" pitchFamily="18" charset="0"/>
                            <a:ea typeface="Cambria Math" panose="02040503050406030204" pitchFamily="18" charset="0"/>
                          </a:rPr>
                          <m:t>𝑅</m:t>
                        </m:r>
                      </m:e>
                      <m:sub>
                        <m:r>
                          <a:rPr lang="it-IT" sz="1100" b="0" i="1">
                            <a:latin typeface="Cambria Math" panose="02040503050406030204" pitchFamily="18" charset="0"/>
                            <a:ea typeface="Cambria Math" panose="02040503050406030204" pitchFamily="18" charset="0"/>
                          </a:rPr>
                          <m:t>𝐸𝐶</m:t>
                        </m:r>
                        <m:r>
                          <a:rPr lang="it-IT" sz="1100" b="0" i="1">
                            <a:latin typeface="Cambria Math" panose="02040503050406030204" pitchFamily="18" charset="0"/>
                            <a:ea typeface="Cambria Math" panose="02040503050406030204" pitchFamily="18" charset="0"/>
                          </a:rPr>
                          <m:t>, </m:t>
                        </m:r>
                        <m:r>
                          <a:rPr lang="it-IT" sz="1100" b="0" i="1">
                            <a:latin typeface="Cambria Math" panose="02040503050406030204" pitchFamily="18" charset="0"/>
                            <a:ea typeface="Cambria Math" panose="02040503050406030204" pitchFamily="18" charset="0"/>
                          </a:rPr>
                          <m:t>𝑓𝑜𝑟𝑛𝑖𝑡𝑜𝑟𝑒</m:t>
                        </m:r>
                        <m:r>
                          <a:rPr lang="it-IT" sz="1100" b="0" i="1">
                            <a:latin typeface="Cambria Math" panose="02040503050406030204" pitchFamily="18" charset="0"/>
                            <a:ea typeface="Cambria Math" panose="02040503050406030204" pitchFamily="18" charset="0"/>
                          </a:rPr>
                          <m:t> 2</m:t>
                        </m:r>
                      </m:sub>
                    </m:sSub>
                  </m:oMath>
                </m:oMathPara>
              </a14:m>
              <a:endParaRPr lang="it-IT" sz="1100"/>
            </a:p>
          </xdr:txBody>
        </xdr:sp>
      </mc:Choice>
      <mc:Fallback xmlns="">
        <xdr:sp macro="" textlink="">
          <xdr:nvSpPr>
            <xdr:cNvPr id="9" name="CasellaDiTesto 8"/>
            <xdr:cNvSpPr txBox="1"/>
          </xdr:nvSpPr>
          <xdr:spPr>
            <a:xfrm>
              <a:off x="13566070" y="1700741"/>
              <a:ext cx="3673377" cy="1831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it-IT" sz="1100" b="0" i="0">
                  <a:latin typeface="Cambria Math" panose="02040503050406030204" pitchFamily="18" charset="0"/>
                </a:rPr>
                <a:t>𝑅_( 𝑓𝑜𝑟𝑛𝑖𝑡𝑜𝑟𝑒 2)</a:t>
              </a:r>
              <a:r>
                <a:rPr lang="it-IT" sz="1100" i="0">
                  <a:latin typeface="Cambria Math" panose="02040503050406030204" pitchFamily="18" charset="0"/>
                  <a:ea typeface="Cambria Math" panose="02040503050406030204" pitchFamily="18" charset="0"/>
                </a:rPr>
                <a:t>=</a:t>
              </a:r>
              <a:r>
                <a:rPr lang="it-IT" sz="1100" b="0" i="0">
                  <a:latin typeface="Cambria Math" panose="02040503050406030204" pitchFamily="18" charset="0"/>
                  <a:ea typeface="Cambria Math" panose="02040503050406030204" pitchFamily="18" charset="0"/>
                </a:rPr>
                <a:t>(1−𝑊)  ×𝑅_(𝐶, 𝑓𝑜𝑟𝑛𝑖𝑡𝑜𝑟𝑒 2)+𝑊×𝑅_(𝐸𝐶, 𝑓𝑜𝑟𝑛𝑖𝑡𝑜𝑟𝑒 2)</a:t>
              </a:r>
              <a:endParaRPr lang="it-IT" sz="1100"/>
            </a:p>
          </xdr:txBody>
        </xdr:sp>
      </mc:Fallback>
    </mc:AlternateContent>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1564885</xdr:colOff>
      <xdr:row>2</xdr:row>
      <xdr:rowOff>33867</xdr:rowOff>
    </xdr:to>
    <xdr:pic>
      <xdr:nvPicPr>
        <xdr:cNvPr id="2" name="Immagin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591218</xdr:colOff>
      <xdr:row>2</xdr:row>
      <xdr:rowOff>33867</xdr:rowOff>
    </xdr:to>
    <xdr:pic>
      <xdr:nvPicPr>
        <xdr:cNvPr id="2" name="Immagin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1507735</xdr:colOff>
      <xdr:row>2</xdr:row>
      <xdr:rowOff>33867</xdr:rowOff>
    </xdr:to>
    <xdr:pic>
      <xdr:nvPicPr>
        <xdr:cNvPr id="2" name="Immagin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1564885</xdr:colOff>
      <xdr:row>2</xdr:row>
      <xdr:rowOff>33867</xdr:rowOff>
    </xdr:to>
    <xdr:pic>
      <xdr:nvPicPr>
        <xdr:cNvPr id="2" name="Immagin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2255</xdr:colOff>
      <xdr:row>2</xdr:row>
      <xdr:rowOff>33867</xdr:rowOff>
    </xdr:to>
    <xdr:pic>
      <xdr:nvPicPr>
        <xdr:cNvPr id="2" name="Immagin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876968</xdr:colOff>
      <xdr:row>2</xdr:row>
      <xdr:rowOff>33867</xdr:rowOff>
    </xdr:to>
    <xdr:pic>
      <xdr:nvPicPr>
        <xdr:cNvPr id="2" name="Immagin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1564885</xdr:colOff>
      <xdr:row>2</xdr:row>
      <xdr:rowOff>33867</xdr:rowOff>
    </xdr:to>
    <xdr:pic>
      <xdr:nvPicPr>
        <xdr:cNvPr id="2" name="Immagine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300177</xdr:colOff>
      <xdr:row>2</xdr:row>
      <xdr:rowOff>33867</xdr:rowOff>
    </xdr:to>
    <xdr:pic>
      <xdr:nvPicPr>
        <xdr:cNvPr id="2" name="Immagine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204927</xdr:colOff>
      <xdr:row>2</xdr:row>
      <xdr:rowOff>33867</xdr:rowOff>
    </xdr:to>
    <xdr:pic>
      <xdr:nvPicPr>
        <xdr:cNvPr id="2" name="Immagine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876968</xdr:colOff>
      <xdr:row>2</xdr:row>
      <xdr:rowOff>27354</xdr:rowOff>
    </xdr:to>
    <xdr:pic>
      <xdr:nvPicPr>
        <xdr:cNvPr id="2" name="Immagine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077" y="0"/>
          <a:ext cx="2273968" cy="330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1003968</xdr:colOff>
      <xdr:row>1</xdr:row>
      <xdr:rowOff>139700</xdr:rowOff>
    </xdr:to>
    <xdr:pic>
      <xdr:nvPicPr>
        <xdr:cNvPr id="2" name="Immagin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73968" cy="3302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300177</xdr:colOff>
      <xdr:row>2</xdr:row>
      <xdr:rowOff>27354</xdr:rowOff>
    </xdr:to>
    <xdr:pic>
      <xdr:nvPicPr>
        <xdr:cNvPr id="2" name="Immagine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2368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1564885</xdr:colOff>
      <xdr:row>2</xdr:row>
      <xdr:rowOff>27354</xdr:rowOff>
    </xdr:to>
    <xdr:pic>
      <xdr:nvPicPr>
        <xdr:cNvPr id="2" name="Immagine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2368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1564885</xdr:colOff>
      <xdr:row>2</xdr:row>
      <xdr:rowOff>27354</xdr:rowOff>
    </xdr:to>
    <xdr:pic>
      <xdr:nvPicPr>
        <xdr:cNvPr id="2" name="Immagine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2368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1564885</xdr:colOff>
      <xdr:row>2</xdr:row>
      <xdr:rowOff>27354</xdr:rowOff>
    </xdr:to>
    <xdr:pic>
      <xdr:nvPicPr>
        <xdr:cNvPr id="2" name="Immagine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2368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77927</xdr:colOff>
      <xdr:row>2</xdr:row>
      <xdr:rowOff>27354</xdr:rowOff>
    </xdr:to>
    <xdr:pic>
      <xdr:nvPicPr>
        <xdr:cNvPr id="2" name="Immagine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236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236676</xdr:colOff>
      <xdr:row>1</xdr:row>
      <xdr:rowOff>144992</xdr:rowOff>
    </xdr:to>
    <xdr:pic>
      <xdr:nvPicPr>
        <xdr:cNvPr id="2" name="Immagin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73968" cy="330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1819699</xdr:colOff>
      <xdr:row>1</xdr:row>
      <xdr:rowOff>144585</xdr:rowOff>
    </xdr:to>
    <xdr:pic>
      <xdr:nvPicPr>
        <xdr:cNvPr id="2" name="Immagin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73968" cy="330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2141676</xdr:colOff>
      <xdr:row>1</xdr:row>
      <xdr:rowOff>144992</xdr:rowOff>
    </xdr:to>
    <xdr:pic>
      <xdr:nvPicPr>
        <xdr:cNvPr id="2" name="Immagin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73968" cy="3302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2141676</xdr:colOff>
      <xdr:row>1</xdr:row>
      <xdr:rowOff>144992</xdr:rowOff>
    </xdr:to>
    <xdr:pic>
      <xdr:nvPicPr>
        <xdr:cNvPr id="2" name="Immagin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273968" cy="330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1507735</xdr:colOff>
      <xdr:row>2</xdr:row>
      <xdr:rowOff>33867</xdr:rowOff>
    </xdr:to>
    <xdr:pic>
      <xdr:nvPicPr>
        <xdr:cNvPr id="2" name="Immagin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2785</xdr:colOff>
      <xdr:row>2</xdr:row>
      <xdr:rowOff>33867</xdr:rowOff>
    </xdr:to>
    <xdr:pic>
      <xdr:nvPicPr>
        <xdr:cNvPr id="2" name="Immagin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1507735</xdr:colOff>
      <xdr:row>2</xdr:row>
      <xdr:rowOff>33867</xdr:rowOff>
    </xdr:to>
    <xdr:pic>
      <xdr:nvPicPr>
        <xdr:cNvPr id="2" name="Immagin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042" y="0"/>
          <a:ext cx="2273968" cy="330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5.xml"/><Relationship Id="rId1" Type="http://schemas.openxmlformats.org/officeDocument/2006/relationships/printerSettings" Target="../printerSettings/printerSettings21.bin"/><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FF00"/>
  </sheetPr>
  <dimension ref="A1:Y38"/>
  <sheetViews>
    <sheetView zoomScaleNormal="100" workbookViewId="0">
      <pane xSplit="3" ySplit="2" topLeftCell="D3" activePane="bottomRight" state="frozen"/>
      <selection activeCell="G15" sqref="G15"/>
      <selection pane="topRight" activeCell="G15" sqref="G15"/>
      <selection pane="bottomLeft" activeCell="G15" sqref="G15"/>
      <selection pane="bottomRight" activeCell="G15" sqref="G15"/>
    </sheetView>
  </sheetViews>
  <sheetFormatPr defaultRowHeight="15" x14ac:dyDescent="0.25"/>
  <cols>
    <col min="2" max="2" width="27.85546875" customWidth="1"/>
    <col min="5" max="5" width="62.42578125" customWidth="1"/>
    <col min="9" max="9" width="1.85546875" customWidth="1"/>
    <col min="10" max="10" width="8.7109375" style="24"/>
    <col min="11" max="12" width="5.85546875" style="24" bestFit="1" customWidth="1"/>
    <col min="13" max="13" width="1.85546875" style="29" customWidth="1"/>
    <col min="14" max="14" width="11.42578125" style="24" customWidth="1"/>
    <col min="15" max="15" width="1.85546875" customWidth="1"/>
    <col min="16" max="16" width="13.85546875" style="24" bestFit="1" customWidth="1"/>
    <col min="17" max="17" width="1.85546875" customWidth="1"/>
    <col min="18" max="18" width="7" style="24" customWidth="1"/>
    <col min="19" max="19" width="1.85546875" customWidth="1"/>
    <col min="20" max="20" width="9.28515625" style="24" customWidth="1"/>
    <col min="21" max="21" width="2" customWidth="1"/>
    <col min="22" max="22" width="6" bestFit="1" customWidth="1"/>
    <col min="23" max="23" width="1.85546875" customWidth="1"/>
    <col min="24" max="24" width="12.85546875" style="24" customWidth="1"/>
    <col min="25" max="25" width="11.5703125" bestFit="1" customWidth="1"/>
  </cols>
  <sheetData>
    <row r="1" spans="1:25" ht="15.75" thickBot="1" x14ac:dyDescent="0.3">
      <c r="A1" s="882" t="s">
        <v>138</v>
      </c>
      <c r="B1" s="883"/>
      <c r="C1" s="883"/>
      <c r="D1" s="883"/>
      <c r="E1" s="883"/>
      <c r="F1" s="883"/>
      <c r="G1" s="883"/>
      <c r="H1" s="883"/>
      <c r="I1" s="883"/>
      <c r="J1" s="883"/>
      <c r="K1" s="883"/>
      <c r="L1" s="884"/>
      <c r="N1" s="887" t="s">
        <v>139</v>
      </c>
      <c r="O1" s="888"/>
      <c r="P1" s="888"/>
      <c r="Q1" s="888"/>
      <c r="R1" s="888"/>
      <c r="S1" s="888"/>
      <c r="T1" s="888"/>
      <c r="U1" s="888"/>
      <c r="V1" s="888"/>
      <c r="W1" s="888"/>
      <c r="X1" s="888"/>
      <c r="Y1" s="889"/>
    </row>
    <row r="2" spans="1:25" ht="53.25" thickBot="1" x14ac:dyDescent="0.3">
      <c r="A2" s="411" t="s">
        <v>74</v>
      </c>
      <c r="B2" s="412" t="s">
        <v>75</v>
      </c>
      <c r="C2" s="412" t="s">
        <v>52</v>
      </c>
      <c r="D2" s="412" t="s">
        <v>76</v>
      </c>
      <c r="E2" s="412" t="s">
        <v>77</v>
      </c>
      <c r="F2" s="412" t="s">
        <v>78</v>
      </c>
      <c r="G2" s="412" t="s">
        <v>178</v>
      </c>
      <c r="H2" s="412" t="s">
        <v>79</v>
      </c>
      <c r="J2" s="413" t="s">
        <v>1220</v>
      </c>
      <c r="K2" s="412" t="s">
        <v>80</v>
      </c>
      <c r="L2" s="412" t="s">
        <v>81</v>
      </c>
      <c r="N2" s="416" t="s">
        <v>1221</v>
      </c>
      <c r="O2" s="37"/>
      <c r="P2" s="416" t="s">
        <v>1222</v>
      </c>
      <c r="Q2" s="37"/>
      <c r="R2" s="416" t="s">
        <v>1223</v>
      </c>
      <c r="S2" s="37"/>
      <c r="T2" s="416" t="s">
        <v>1224</v>
      </c>
      <c r="U2" s="37"/>
      <c r="V2" s="416" t="s">
        <v>136</v>
      </c>
      <c r="W2" s="37"/>
      <c r="X2" s="416" t="s">
        <v>1225</v>
      </c>
      <c r="Y2" s="416" t="s">
        <v>1226</v>
      </c>
    </row>
    <row r="3" spans="1:25" ht="15.75" thickBot="1" x14ac:dyDescent="0.3">
      <c r="A3" s="879">
        <v>1</v>
      </c>
      <c r="B3" s="879" t="s">
        <v>82</v>
      </c>
      <c r="C3" s="879">
        <f>SUM(H3:H6)</f>
        <v>8</v>
      </c>
      <c r="D3" s="21" t="s">
        <v>83</v>
      </c>
      <c r="E3" s="22" t="s">
        <v>84</v>
      </c>
      <c r="F3" s="21"/>
      <c r="G3" s="21"/>
      <c r="H3" s="21">
        <v>2</v>
      </c>
      <c r="J3" s="112">
        <f>MAX(F3:H3)</f>
        <v>2</v>
      </c>
      <c r="K3" s="109" t="s">
        <v>85</v>
      </c>
      <c r="L3" s="34"/>
      <c r="N3" s="38"/>
      <c r="P3" s="27"/>
      <c r="R3" s="28"/>
      <c r="T3" s="64">
        <f>J3</f>
        <v>2</v>
      </c>
      <c r="V3" s="31">
        <f>'Appalto Specifico BA'!C25/'Appalto Specifico BA'!C27</f>
        <v>0.21078855739140115</v>
      </c>
      <c r="X3" s="71">
        <f t="shared" ref="X3:X8" si="0">T3</f>
        <v>2</v>
      </c>
      <c r="Y3" s="885">
        <f>SUM(X3:X6)</f>
        <v>8</v>
      </c>
    </row>
    <row r="4" spans="1:25" ht="15.75" thickBot="1" x14ac:dyDescent="0.3">
      <c r="A4" s="881"/>
      <c r="B4" s="881"/>
      <c r="C4" s="881"/>
      <c r="D4" s="21" t="s">
        <v>86</v>
      </c>
      <c r="E4" s="22" t="s">
        <v>87</v>
      </c>
      <c r="F4" s="21"/>
      <c r="G4" s="21"/>
      <c r="H4" s="21">
        <v>2</v>
      </c>
      <c r="J4" s="112">
        <f t="shared" ref="J4:J37" si="1">MAX(F4:H4)</f>
        <v>2</v>
      </c>
      <c r="K4" s="109" t="s">
        <v>85</v>
      </c>
      <c r="L4" s="34"/>
      <c r="N4" s="38"/>
      <c r="P4" s="27"/>
      <c r="R4" s="28"/>
      <c r="T4" s="64">
        <f t="shared" ref="T4:T8" si="2">J4</f>
        <v>2</v>
      </c>
      <c r="X4" s="72">
        <f t="shared" si="0"/>
        <v>2</v>
      </c>
      <c r="Y4" s="881"/>
    </row>
    <row r="5" spans="1:25" ht="15.75" thickBot="1" x14ac:dyDescent="0.3">
      <c r="A5" s="881"/>
      <c r="B5" s="881"/>
      <c r="C5" s="881"/>
      <c r="D5" s="21" t="s">
        <v>88</v>
      </c>
      <c r="E5" s="22" t="s">
        <v>89</v>
      </c>
      <c r="F5" s="21"/>
      <c r="G5" s="21"/>
      <c r="H5" s="21">
        <v>2</v>
      </c>
      <c r="J5" s="112">
        <f t="shared" si="1"/>
        <v>2</v>
      </c>
      <c r="K5" s="109" t="s">
        <v>85</v>
      </c>
      <c r="L5" s="34"/>
      <c r="N5" s="38"/>
      <c r="P5" s="27"/>
      <c r="R5" s="28"/>
      <c r="T5" s="64">
        <f t="shared" si="2"/>
        <v>2</v>
      </c>
      <c r="X5" s="72">
        <f t="shared" si="0"/>
        <v>2</v>
      </c>
      <c r="Y5" s="881"/>
    </row>
    <row r="6" spans="1:25" ht="15.75" thickBot="1" x14ac:dyDescent="0.3">
      <c r="A6" s="880"/>
      <c r="B6" s="880"/>
      <c r="C6" s="880"/>
      <c r="D6" s="21" t="s">
        <v>90</v>
      </c>
      <c r="E6" s="22" t="s">
        <v>91</v>
      </c>
      <c r="F6" s="21"/>
      <c r="G6" s="21"/>
      <c r="H6" s="21">
        <v>2</v>
      </c>
      <c r="J6" s="112">
        <f t="shared" si="1"/>
        <v>2</v>
      </c>
      <c r="K6" s="109" t="s">
        <v>85</v>
      </c>
      <c r="L6" s="34"/>
      <c r="N6" s="38"/>
      <c r="P6" s="27"/>
      <c r="R6" s="28"/>
      <c r="T6" s="64">
        <f t="shared" si="2"/>
        <v>2</v>
      </c>
      <c r="X6" s="73">
        <f t="shared" si="0"/>
        <v>2</v>
      </c>
      <c r="Y6" s="880"/>
    </row>
    <row r="7" spans="1:25" ht="15.75" thickBot="1" x14ac:dyDescent="0.3">
      <c r="A7" s="879">
        <v>2</v>
      </c>
      <c r="B7" s="879" t="s">
        <v>188</v>
      </c>
      <c r="C7" s="879">
        <f>SUM(F7:H8)</f>
        <v>7</v>
      </c>
      <c r="D7" s="21" t="s">
        <v>92</v>
      </c>
      <c r="E7" s="22" t="s">
        <v>93</v>
      </c>
      <c r="F7" s="21">
        <v>4.5</v>
      </c>
      <c r="G7" s="23"/>
      <c r="H7" s="23"/>
      <c r="J7" s="112">
        <f t="shared" si="1"/>
        <v>4.5</v>
      </c>
      <c r="K7" s="109" t="s">
        <v>85</v>
      </c>
      <c r="L7" s="34"/>
      <c r="N7" s="38"/>
      <c r="P7" s="27"/>
      <c r="R7" s="28"/>
      <c r="T7" s="64">
        <f t="shared" si="2"/>
        <v>4.5</v>
      </c>
      <c r="X7" s="71">
        <f t="shared" si="0"/>
        <v>4.5</v>
      </c>
      <c r="Y7" s="885">
        <f>SUM(X7:X8)</f>
        <v>7</v>
      </c>
    </row>
    <row r="8" spans="1:25" ht="15.75" thickBot="1" x14ac:dyDescent="0.3">
      <c r="A8" s="880"/>
      <c r="B8" s="880"/>
      <c r="C8" s="880"/>
      <c r="D8" s="21" t="s">
        <v>1159</v>
      </c>
      <c r="E8" s="22" t="s">
        <v>94</v>
      </c>
      <c r="F8" s="21">
        <v>2.5</v>
      </c>
      <c r="G8" s="21"/>
      <c r="H8" s="21"/>
      <c r="J8" s="112">
        <f t="shared" si="1"/>
        <v>2.5</v>
      </c>
      <c r="K8" s="109" t="s">
        <v>85</v>
      </c>
      <c r="L8" s="34"/>
      <c r="N8" s="38"/>
      <c r="P8" s="27"/>
      <c r="R8" s="28"/>
      <c r="T8" s="64">
        <f t="shared" si="2"/>
        <v>2.5</v>
      </c>
      <c r="X8" s="73">
        <f t="shared" si="0"/>
        <v>2.5</v>
      </c>
      <c r="Y8" s="880"/>
    </row>
    <row r="9" spans="1:25" ht="15.75" thickBot="1" x14ac:dyDescent="0.3">
      <c r="A9" s="879">
        <v>3</v>
      </c>
      <c r="B9" s="879" t="s">
        <v>95</v>
      </c>
      <c r="C9" s="879">
        <f>SUM(F9:H30)</f>
        <v>44.25</v>
      </c>
      <c r="D9" s="21" t="s">
        <v>96</v>
      </c>
      <c r="E9" s="22" t="s">
        <v>189</v>
      </c>
      <c r="F9" s="21">
        <v>8.4</v>
      </c>
      <c r="G9" s="23"/>
      <c r="H9" s="23"/>
      <c r="J9" s="112">
        <f t="shared" si="1"/>
        <v>8.4</v>
      </c>
      <c r="K9" s="110"/>
      <c r="L9" s="35" t="s">
        <v>85</v>
      </c>
      <c r="N9" s="39">
        <f>ROUND(J9/SUM('Tabella PE'!F14:F27),3)</f>
        <v>1.0389999999999999</v>
      </c>
      <c r="P9" s="26">
        <f>'Appalto Specifico BA'!C13</f>
        <v>2385497.6640000003</v>
      </c>
      <c r="R9" s="64">
        <f>P9/('Appalto Specifico BA'!$C$23-SUM('Appalto Specifico BA'!$C$11,'Appalto Specifico BA'!$C$14))</f>
        <v>0.4458115673404075</v>
      </c>
      <c r="T9" s="64">
        <f>N9*R9*(1-$V$3)*30</f>
        <v>10.966840026294724</v>
      </c>
      <c r="X9" s="71">
        <f>ROUND(T9/SUM($T$9:$T$23,$T$36:$T$37)*34,3)</f>
        <v>9.0749999999999993</v>
      </c>
      <c r="Y9" s="885">
        <f>SUM(X9:X30)</f>
        <v>44.456999999999994</v>
      </c>
    </row>
    <row r="10" spans="1:25" ht="15.75" thickBot="1" x14ac:dyDescent="0.3">
      <c r="A10" s="881"/>
      <c r="B10" s="881"/>
      <c r="C10" s="881"/>
      <c r="D10" s="21" t="s">
        <v>97</v>
      </c>
      <c r="E10" s="22" t="s">
        <v>164</v>
      </c>
      <c r="F10" s="21"/>
      <c r="G10" s="21"/>
      <c r="H10" s="21">
        <v>0.65</v>
      </c>
      <c r="J10" s="112">
        <f t="shared" si="1"/>
        <v>0.65</v>
      </c>
      <c r="K10" s="110"/>
      <c r="L10" s="35" t="s">
        <v>85</v>
      </c>
      <c r="N10" s="39">
        <f>ROUND(J10/SUM('Tabella PE'!F14:F27),3)</f>
        <v>0.08</v>
      </c>
      <c r="P10" s="26">
        <f>P9</f>
        <v>2385497.6640000003</v>
      </c>
      <c r="R10" s="64">
        <f>P10/('Appalto Specifico BA'!$C$23-SUM('Appalto Specifico BA'!$C$11,'Appalto Specifico BA'!$C$14))</f>
        <v>0.4458115673404075</v>
      </c>
      <c r="T10" s="64">
        <f>N10*R10*(1-$V$3)*30</f>
        <v>0.84441501646157646</v>
      </c>
      <c r="X10" s="72">
        <f t="shared" ref="X10:X37" si="3">ROUND(T10/SUM($T$9:$T$23,$T$36:$T$37)*34,3)</f>
        <v>0.69899999999999995</v>
      </c>
      <c r="Y10" s="886"/>
    </row>
    <row r="11" spans="1:25" ht="26.25" thickBot="1" x14ac:dyDescent="0.3">
      <c r="A11" s="881"/>
      <c r="B11" s="881"/>
      <c r="C11" s="881"/>
      <c r="D11" s="21" t="s">
        <v>98</v>
      </c>
      <c r="E11" s="22" t="s">
        <v>191</v>
      </c>
      <c r="F11" s="21">
        <v>2.85</v>
      </c>
      <c r="G11" s="21"/>
      <c r="H11" s="21"/>
      <c r="J11" s="112">
        <f t="shared" si="1"/>
        <v>2.85</v>
      </c>
      <c r="K11" s="110"/>
      <c r="L11" s="35" t="s">
        <v>85</v>
      </c>
      <c r="N11" s="39">
        <f>ROUND(J11/'Tabella PE'!F3,3)</f>
        <v>1.3540000000000001</v>
      </c>
      <c r="P11" s="26">
        <f>'Appalto Specifico BA'!C5</f>
        <v>382526.89600000001</v>
      </c>
      <c r="R11" s="64">
        <f>P11/('Appalto Specifico BA'!$C$23-SUM('Appalto Specifico BA'!$C$11,'Appalto Specifico BA'!$C$14))</f>
        <v>7.1488192015106936E-2</v>
      </c>
      <c r="T11" s="64">
        <f t="shared" ref="T11:T23" si="4">N11*R11*(1-$V$3)*30</f>
        <v>2.2917519314617509</v>
      </c>
      <c r="X11" s="72">
        <f t="shared" si="3"/>
        <v>1.8959999999999999</v>
      </c>
      <c r="Y11" s="881"/>
    </row>
    <row r="12" spans="1:25" ht="26.25" thickBot="1" x14ac:dyDescent="0.3">
      <c r="A12" s="881"/>
      <c r="B12" s="881"/>
      <c r="C12" s="881"/>
      <c r="D12" s="21" t="s">
        <v>99</v>
      </c>
      <c r="E12" s="22" t="s">
        <v>192</v>
      </c>
      <c r="F12" s="21">
        <v>5.15</v>
      </c>
      <c r="G12" s="21"/>
      <c r="H12" s="21"/>
      <c r="J12" s="112">
        <f t="shared" si="1"/>
        <v>5.15</v>
      </c>
      <c r="K12" s="110"/>
      <c r="L12" s="35" t="s">
        <v>85</v>
      </c>
      <c r="N12" s="39">
        <f>ROUND(J12/SUM('Tabella PE'!F4:F5),3)</f>
        <v>1.512</v>
      </c>
      <c r="P12" s="26">
        <f>'Appalto Specifico BA'!C7</f>
        <v>729199.2919999999</v>
      </c>
      <c r="R12" s="64">
        <f>P12/('Appalto Specifico BA'!$C$23-SUM('Appalto Specifico BA'!$C$11,'Appalto Specifico BA'!$C$14))</f>
        <v>0.1362757483169916</v>
      </c>
      <c r="T12" s="64">
        <f t="shared" si="4"/>
        <v>4.8784852332537225</v>
      </c>
      <c r="X12" s="72">
        <f t="shared" si="3"/>
        <v>4.0369999999999999</v>
      </c>
      <c r="Y12" s="881"/>
    </row>
    <row r="13" spans="1:25" ht="26.25" thickBot="1" x14ac:dyDescent="0.3">
      <c r="A13" s="881"/>
      <c r="B13" s="881"/>
      <c r="C13" s="881"/>
      <c r="D13" s="21" t="s">
        <v>100</v>
      </c>
      <c r="E13" s="22" t="s">
        <v>193</v>
      </c>
      <c r="F13" s="21">
        <v>1.55</v>
      </c>
      <c r="G13" s="21"/>
      <c r="H13" s="21"/>
      <c r="J13" s="112">
        <f t="shared" si="1"/>
        <v>1.55</v>
      </c>
      <c r="K13" s="110"/>
      <c r="L13" s="35" t="s">
        <v>85</v>
      </c>
      <c r="N13" s="39">
        <f>ROUND(J13/'Tabella PE'!F6,3)</f>
        <v>2.331</v>
      </c>
      <c r="P13" s="26">
        <f>'Appalto Specifico BA'!C8</f>
        <v>92181.560000000012</v>
      </c>
      <c r="R13" s="64">
        <f>P13/('Appalto Specifico BA'!$C$23-SUM('Appalto Specifico BA'!$C$11,'Appalto Specifico BA'!$C$14))</f>
        <v>1.7227267233862954E-2</v>
      </c>
      <c r="T13" s="64">
        <f t="shared" si="4"/>
        <v>0.95076523285904913</v>
      </c>
      <c r="X13" s="72">
        <f t="shared" si="3"/>
        <v>0.78700000000000003</v>
      </c>
      <c r="Y13" s="881"/>
    </row>
    <row r="14" spans="1:25" ht="26.25" thickBot="1" x14ac:dyDescent="0.3">
      <c r="A14" s="881"/>
      <c r="B14" s="881"/>
      <c r="C14" s="881"/>
      <c r="D14" s="21" t="s">
        <v>101</v>
      </c>
      <c r="E14" s="22" t="s">
        <v>194</v>
      </c>
      <c r="F14" s="21">
        <v>2.35</v>
      </c>
      <c r="G14" s="21"/>
      <c r="H14" s="21"/>
      <c r="J14" s="112">
        <f t="shared" si="1"/>
        <v>2.35</v>
      </c>
      <c r="K14" s="110"/>
      <c r="L14" s="35" t="s">
        <v>85</v>
      </c>
      <c r="N14" s="39">
        <f>ROUND(J14/'Tabella PE'!F7,3)</f>
        <v>5.2220000000000004</v>
      </c>
      <c r="P14" s="26">
        <f>'Appalto Specifico BA'!C9</f>
        <v>0</v>
      </c>
      <c r="R14" s="64">
        <f>P14/('Appalto Specifico BA'!$C$23-SUM('Appalto Specifico BA'!$C$11,'Appalto Specifico BA'!$C$14))</f>
        <v>0</v>
      </c>
      <c r="T14" s="64">
        <f t="shared" si="4"/>
        <v>0</v>
      </c>
      <c r="X14" s="72">
        <f t="shared" si="3"/>
        <v>0</v>
      </c>
      <c r="Y14" s="881"/>
    </row>
    <row r="15" spans="1:25" ht="26.25" thickBot="1" x14ac:dyDescent="0.3">
      <c r="A15" s="881"/>
      <c r="B15" s="881"/>
      <c r="C15" s="881"/>
      <c r="D15" s="21" t="s">
        <v>102</v>
      </c>
      <c r="E15" s="22" t="s">
        <v>195</v>
      </c>
      <c r="F15" s="21">
        <v>1.85</v>
      </c>
      <c r="G15" s="21"/>
      <c r="H15" s="21"/>
      <c r="J15" s="112">
        <f t="shared" si="1"/>
        <v>1.85</v>
      </c>
      <c r="K15" s="110"/>
      <c r="L15" s="35" t="s">
        <v>85</v>
      </c>
      <c r="N15" s="39">
        <f>ROUND(J15/'Tabella PE'!F8,3)</f>
        <v>2.5339999999999998</v>
      </c>
      <c r="P15" s="26">
        <f>'Appalto Specifico BA'!C10</f>
        <v>0</v>
      </c>
      <c r="R15" s="64">
        <f>P15/('Appalto Specifico BA'!$C$23-SUM('Appalto Specifico BA'!$C$11,'Appalto Specifico BA'!$C$14))</f>
        <v>0</v>
      </c>
      <c r="T15" s="64">
        <f t="shared" si="4"/>
        <v>0</v>
      </c>
      <c r="X15" s="72">
        <f t="shared" si="3"/>
        <v>0</v>
      </c>
      <c r="Y15" s="881"/>
    </row>
    <row r="16" spans="1:25" ht="26.25" thickBot="1" x14ac:dyDescent="0.3">
      <c r="A16" s="881"/>
      <c r="B16" s="881"/>
      <c r="C16" s="881"/>
      <c r="D16" s="21" t="s">
        <v>103</v>
      </c>
      <c r="E16" s="22" t="s">
        <v>196</v>
      </c>
      <c r="F16" s="21">
        <v>1</v>
      </c>
      <c r="G16" s="21"/>
      <c r="H16" s="21"/>
      <c r="J16" s="112">
        <f t="shared" ref="J16" si="5">MAX(F16:H16)</f>
        <v>1</v>
      </c>
      <c r="K16" s="110"/>
      <c r="L16" s="35" t="s">
        <v>85</v>
      </c>
      <c r="N16" s="39">
        <f>ROUND(J16/'Tabella PE'!F9,3)</f>
        <v>2.532</v>
      </c>
      <c r="P16" s="26">
        <f>'Appalto Specifico BA'!C6</f>
        <v>106618.07199999999</v>
      </c>
      <c r="R16" s="64">
        <f>P16/('Appalto Specifico BA'!$C$23-SUM('Appalto Specifico BA'!$C$11,'Appalto Specifico BA'!$C$14))</f>
        <v>1.9925221685370052E-2</v>
      </c>
      <c r="T16" s="64">
        <f t="shared" ref="T16" si="6">N16*R16*(1-$V$3)*30</f>
        <v>1.1944871757281106</v>
      </c>
      <c r="X16" s="72">
        <f t="shared" si="3"/>
        <v>0.98799999999999999</v>
      </c>
      <c r="Y16" s="881"/>
    </row>
    <row r="17" spans="1:25" ht="26.25" thickBot="1" x14ac:dyDescent="0.3">
      <c r="A17" s="881"/>
      <c r="B17" s="881"/>
      <c r="C17" s="881"/>
      <c r="D17" s="21" t="s">
        <v>104</v>
      </c>
      <c r="E17" s="22" t="s">
        <v>197</v>
      </c>
      <c r="F17" s="21">
        <v>1.1499999999999999</v>
      </c>
      <c r="G17" s="21"/>
      <c r="H17" s="21"/>
      <c r="J17" s="112">
        <f t="shared" si="1"/>
        <v>1.1499999999999999</v>
      </c>
      <c r="K17" s="110"/>
      <c r="L17" s="35" t="s">
        <v>85</v>
      </c>
      <c r="N17" s="39">
        <f>ROUND(J17/'Tabella PE'!F32,3)</f>
        <v>3.77</v>
      </c>
      <c r="P17" s="26">
        <f>'Appalto Specifico BA'!C16</f>
        <v>9592</v>
      </c>
      <c r="R17" s="64">
        <f>P17/('Appalto Specifico BA'!$C$23-SUM('Appalto Specifico BA'!$C$11,'Appalto Specifico BA'!$C$14))</f>
        <v>1.7925922202576461E-3</v>
      </c>
      <c r="T17" s="64">
        <f t="shared" si="4"/>
        <v>0.16000644844312498</v>
      </c>
      <c r="X17" s="72">
        <f t="shared" si="3"/>
        <v>0.13200000000000001</v>
      </c>
      <c r="Y17" s="881"/>
    </row>
    <row r="18" spans="1:25" ht="26.25" thickBot="1" x14ac:dyDescent="0.3">
      <c r="A18" s="881"/>
      <c r="B18" s="881"/>
      <c r="C18" s="881"/>
      <c r="D18" s="21" t="s">
        <v>105</v>
      </c>
      <c r="E18" s="22" t="s">
        <v>198</v>
      </c>
      <c r="F18" s="21">
        <v>1.05</v>
      </c>
      <c r="G18" s="21"/>
      <c r="H18" s="21"/>
      <c r="J18" s="112">
        <f t="shared" si="1"/>
        <v>1.05</v>
      </c>
      <c r="K18" s="110"/>
      <c r="L18" s="35" t="s">
        <v>85</v>
      </c>
      <c r="N18" s="39">
        <f>ROUND(J18/'Tabella PE'!F34,3)</f>
        <v>1.9810000000000001</v>
      </c>
      <c r="P18" s="26">
        <f>'Appalto Specifico BA'!C17</f>
        <v>37113.566666666666</v>
      </c>
      <c r="R18" s="64">
        <f>P18/('Appalto Specifico BA'!$C$23-SUM('Appalto Specifico BA'!$C$11,'Appalto Specifico BA'!$C$14))</f>
        <v>6.935935245275247E-3</v>
      </c>
      <c r="T18" s="64">
        <f t="shared" si="4"/>
        <v>0.32531503355317504</v>
      </c>
      <c r="X18" s="72">
        <f t="shared" si="3"/>
        <v>0.26900000000000002</v>
      </c>
      <c r="Y18" s="881"/>
    </row>
    <row r="19" spans="1:25" ht="15.75" thickBot="1" x14ac:dyDescent="0.3">
      <c r="A19" s="881"/>
      <c r="B19" s="881"/>
      <c r="C19" s="881"/>
      <c r="D19" s="21" t="s">
        <v>106</v>
      </c>
      <c r="E19" s="22" t="s">
        <v>187</v>
      </c>
      <c r="F19" s="21"/>
      <c r="G19" s="21"/>
      <c r="H19" s="21">
        <v>1.1000000000000001</v>
      </c>
      <c r="J19" s="112">
        <f t="shared" si="1"/>
        <v>1.1000000000000001</v>
      </c>
      <c r="K19" s="110"/>
      <c r="L19" s="35" t="s">
        <v>85</v>
      </c>
      <c r="N19" s="39">
        <f>ROUND(J19/'Tabella PE'!F36,3)</f>
        <v>0.68500000000000005</v>
      </c>
      <c r="P19" s="26">
        <f>'Appalto Specifico BA'!C19</f>
        <v>0</v>
      </c>
      <c r="R19" s="64">
        <f>P19/('Appalto Specifico BA'!$C$23-SUM('Appalto Specifico BA'!$C$11,'Appalto Specifico BA'!$C$14))</f>
        <v>0</v>
      </c>
      <c r="T19" s="64">
        <f t="shared" si="4"/>
        <v>0</v>
      </c>
      <c r="X19" s="72">
        <f t="shared" si="3"/>
        <v>0</v>
      </c>
      <c r="Y19" s="881"/>
    </row>
    <row r="20" spans="1:25" ht="15.75" thickBot="1" x14ac:dyDescent="0.3">
      <c r="A20" s="881"/>
      <c r="B20" s="881"/>
      <c r="C20" s="881"/>
      <c r="D20" s="21" t="s">
        <v>107</v>
      </c>
      <c r="E20" s="22" t="s">
        <v>166</v>
      </c>
      <c r="F20" s="21">
        <v>1.1499999999999999</v>
      </c>
      <c r="G20" s="21"/>
      <c r="H20" s="21"/>
      <c r="J20" s="112">
        <f t="shared" si="1"/>
        <v>1.1499999999999999</v>
      </c>
      <c r="K20" s="110"/>
      <c r="L20" s="35" t="s">
        <v>85</v>
      </c>
      <c r="N20" s="39">
        <f>ROUND(J20/'Tabella PE'!F37,3)</f>
        <v>2.2330000000000001</v>
      </c>
      <c r="P20" s="26">
        <f>'Appalto Specifico BA'!C20</f>
        <v>1140314.8799999999</v>
      </c>
      <c r="R20" s="64">
        <f>P20/('Appalto Specifico BA'!$C$23-SUM('Appalto Specifico BA'!$C$11,'Appalto Specifico BA'!$C$14))</f>
        <v>0.21310671210717588</v>
      </c>
      <c r="T20" s="64">
        <f t="shared" si="4"/>
        <v>11.266797268785618</v>
      </c>
      <c r="X20" s="72">
        <f t="shared" si="3"/>
        <v>9.3239999999999998</v>
      </c>
      <c r="Y20" s="881"/>
    </row>
    <row r="21" spans="1:25" ht="26.25" thickBot="1" x14ac:dyDescent="0.3">
      <c r="A21" s="881"/>
      <c r="B21" s="881"/>
      <c r="C21" s="881"/>
      <c r="D21" s="21" t="s">
        <v>109</v>
      </c>
      <c r="E21" s="22" t="s">
        <v>199</v>
      </c>
      <c r="F21" s="21">
        <v>1.25</v>
      </c>
      <c r="G21" s="21"/>
      <c r="H21" s="21"/>
      <c r="J21" s="112">
        <f t="shared" si="1"/>
        <v>1.25</v>
      </c>
      <c r="K21" s="110"/>
      <c r="L21" s="35" t="s">
        <v>85</v>
      </c>
      <c r="N21" s="39">
        <f>ROUND(J21/SUM('Tabella PE'!F38:F39),3)</f>
        <v>2.9409999999999998</v>
      </c>
      <c r="P21" s="26">
        <f>'Appalto Specifico BA'!C21</f>
        <v>0</v>
      </c>
      <c r="R21" s="64">
        <f>P21/('Appalto Specifico BA'!$C$23-SUM('Appalto Specifico BA'!$C$11,'Appalto Specifico BA'!$C$14))</f>
        <v>0</v>
      </c>
      <c r="T21" s="64">
        <f t="shared" si="4"/>
        <v>0</v>
      </c>
      <c r="X21" s="72">
        <f t="shared" si="3"/>
        <v>0</v>
      </c>
      <c r="Y21" s="881"/>
    </row>
    <row r="22" spans="1:25" ht="15.75" thickBot="1" x14ac:dyDescent="0.3">
      <c r="A22" s="881"/>
      <c r="B22" s="881"/>
      <c r="C22" s="881"/>
      <c r="D22" s="21" t="s">
        <v>110</v>
      </c>
      <c r="E22" s="22" t="s">
        <v>200</v>
      </c>
      <c r="F22" s="21">
        <v>1</v>
      </c>
      <c r="G22" s="21"/>
      <c r="H22" s="21"/>
      <c r="J22" s="112">
        <f t="shared" si="1"/>
        <v>1</v>
      </c>
      <c r="K22" s="110"/>
      <c r="L22" s="35" t="s">
        <v>85</v>
      </c>
      <c r="N22" s="39">
        <f>ROUND(J22/'Tabella PE'!F42,3)</f>
        <v>2.9849999999999999</v>
      </c>
      <c r="P22" s="26">
        <f>'Appalto Specifico BA'!C22</f>
        <v>155962.2716666667</v>
      </c>
      <c r="R22" s="64">
        <f>P22/('Appalto Specifico BA'!$C$23-SUM('Appalto Specifico BA'!$C$11,'Appalto Specifico BA'!$C$14))</f>
        <v>2.9146867685923294E-2</v>
      </c>
      <c r="T22" s="64">
        <f t="shared" si="4"/>
        <v>2.0599223657813845</v>
      </c>
      <c r="X22" s="72">
        <f t="shared" si="3"/>
        <v>1.7050000000000001</v>
      </c>
      <c r="Y22" s="881"/>
    </row>
    <row r="23" spans="1:25" ht="15.75" thickBot="1" x14ac:dyDescent="0.3">
      <c r="A23" s="881"/>
      <c r="B23" s="881"/>
      <c r="C23" s="881"/>
      <c r="D23" s="21" t="s">
        <v>111</v>
      </c>
      <c r="E23" s="22" t="s">
        <v>108</v>
      </c>
      <c r="F23" s="21"/>
      <c r="G23" s="21"/>
      <c r="H23" s="21">
        <v>1.5</v>
      </c>
      <c r="J23" s="112">
        <f t="shared" si="1"/>
        <v>1.5</v>
      </c>
      <c r="K23" s="110"/>
      <c r="L23" s="35" t="s">
        <v>85</v>
      </c>
      <c r="N23" s="39">
        <f>ROUND(J23/SUM('Tabella PE'!F29:F30),3)</f>
        <v>2.8849999999999998</v>
      </c>
      <c r="P23" s="26">
        <f>'Appalto Specifico BA'!C15</f>
        <v>311904</v>
      </c>
      <c r="R23" s="64">
        <f>P23/('Appalto Specifico BA'!$C$23-SUM('Appalto Specifico BA'!$C$11,'Appalto Specifico BA'!$C$14))</f>
        <v>5.8289896149628949E-2</v>
      </c>
      <c r="T23" s="64">
        <f t="shared" si="4"/>
        <v>3.9815642397252153</v>
      </c>
      <c r="X23" s="72">
        <f t="shared" si="3"/>
        <v>3.2949999999999999</v>
      </c>
      <c r="Y23" s="881"/>
    </row>
    <row r="24" spans="1:25" ht="15.75" thickBot="1" x14ac:dyDescent="0.3">
      <c r="A24" s="881"/>
      <c r="B24" s="881"/>
      <c r="C24" s="881"/>
      <c r="D24" s="21" t="s">
        <v>112</v>
      </c>
      <c r="E24" s="22" t="s">
        <v>174</v>
      </c>
      <c r="F24" s="21">
        <v>3.5</v>
      </c>
      <c r="G24" s="23"/>
      <c r="H24" s="23"/>
      <c r="J24" s="112">
        <f t="shared" si="1"/>
        <v>3.5</v>
      </c>
      <c r="K24" s="109" t="s">
        <v>85</v>
      </c>
      <c r="L24" s="34"/>
      <c r="N24" s="38"/>
      <c r="P24" s="27"/>
      <c r="R24" s="65"/>
      <c r="T24" s="64">
        <f t="shared" ref="T24:T35" si="7">J24</f>
        <v>3.5</v>
      </c>
      <c r="X24" s="72">
        <f t="shared" ref="X24:X35" si="8">T24</f>
        <v>3.5</v>
      </c>
      <c r="Y24" s="881"/>
    </row>
    <row r="25" spans="1:25" ht="15.75" thickBot="1" x14ac:dyDescent="0.3">
      <c r="A25" s="881"/>
      <c r="B25" s="881"/>
      <c r="C25" s="881"/>
      <c r="D25" s="21" t="s">
        <v>113</v>
      </c>
      <c r="E25" s="22" t="s">
        <v>175</v>
      </c>
      <c r="F25" s="21">
        <v>2.8</v>
      </c>
      <c r="G25" s="23"/>
      <c r="H25" s="23"/>
      <c r="J25" s="112">
        <f t="shared" si="1"/>
        <v>2.8</v>
      </c>
      <c r="K25" s="109" t="s">
        <v>85</v>
      </c>
      <c r="L25" s="34"/>
      <c r="N25" s="38"/>
      <c r="P25" s="27"/>
      <c r="R25" s="65"/>
      <c r="T25" s="64">
        <f t="shared" si="7"/>
        <v>2.8</v>
      </c>
      <c r="X25" s="72">
        <f t="shared" si="8"/>
        <v>2.8</v>
      </c>
      <c r="Y25" s="881"/>
    </row>
    <row r="26" spans="1:25" ht="15.75" thickBot="1" x14ac:dyDescent="0.3">
      <c r="A26" s="881"/>
      <c r="B26" s="881"/>
      <c r="C26" s="881"/>
      <c r="D26" s="21" t="s">
        <v>114</v>
      </c>
      <c r="E26" s="22" t="s">
        <v>176</v>
      </c>
      <c r="F26" s="21"/>
      <c r="G26" s="21"/>
      <c r="H26" s="21">
        <v>0.95</v>
      </c>
      <c r="J26" s="112">
        <f t="shared" si="1"/>
        <v>0.95</v>
      </c>
      <c r="K26" s="109" t="s">
        <v>85</v>
      </c>
      <c r="L26" s="34"/>
      <c r="N26" s="38"/>
      <c r="P26" s="27"/>
      <c r="R26" s="65"/>
      <c r="T26" s="64">
        <f t="shared" si="7"/>
        <v>0.95</v>
      </c>
      <c r="X26" s="72">
        <f t="shared" si="8"/>
        <v>0.95</v>
      </c>
      <c r="Y26" s="881"/>
    </row>
    <row r="27" spans="1:25" ht="26.25" thickBot="1" x14ac:dyDescent="0.3">
      <c r="A27" s="881"/>
      <c r="B27" s="881"/>
      <c r="C27" s="881"/>
      <c r="D27" s="21" t="s">
        <v>165</v>
      </c>
      <c r="E27" s="22" t="s">
        <v>201</v>
      </c>
      <c r="F27" s="21"/>
      <c r="G27" s="21">
        <v>0.75</v>
      </c>
      <c r="H27" s="21"/>
      <c r="J27" s="112">
        <f t="shared" si="1"/>
        <v>0.75</v>
      </c>
      <c r="K27" s="109" t="s">
        <v>85</v>
      </c>
      <c r="L27" s="34"/>
      <c r="N27" s="38"/>
      <c r="P27" s="27"/>
      <c r="R27" s="65"/>
      <c r="T27" s="64">
        <f t="shared" si="7"/>
        <v>0.75</v>
      </c>
      <c r="X27" s="72">
        <f t="shared" si="8"/>
        <v>0.75</v>
      </c>
      <c r="Y27" s="881"/>
    </row>
    <row r="28" spans="1:25" ht="26.25" thickBot="1" x14ac:dyDescent="0.3">
      <c r="A28" s="881"/>
      <c r="B28" s="881"/>
      <c r="C28" s="881"/>
      <c r="D28" s="21" t="s">
        <v>172</v>
      </c>
      <c r="E28" s="22" t="s">
        <v>202</v>
      </c>
      <c r="F28" s="21"/>
      <c r="G28" s="21">
        <v>0.75</v>
      </c>
      <c r="H28" s="21"/>
      <c r="J28" s="112">
        <f t="shared" si="1"/>
        <v>0.75</v>
      </c>
      <c r="K28" s="109" t="s">
        <v>85</v>
      </c>
      <c r="L28" s="34"/>
      <c r="N28" s="38"/>
      <c r="P28" s="27"/>
      <c r="R28" s="65"/>
      <c r="T28" s="64">
        <f t="shared" si="7"/>
        <v>0.75</v>
      </c>
      <c r="X28" s="72">
        <f t="shared" si="8"/>
        <v>0.75</v>
      </c>
      <c r="Y28" s="881"/>
    </row>
    <row r="29" spans="1:25" ht="26.25" thickBot="1" x14ac:dyDescent="0.3">
      <c r="A29" s="881"/>
      <c r="B29" s="881"/>
      <c r="C29" s="881"/>
      <c r="D29" s="21" t="s">
        <v>173</v>
      </c>
      <c r="E29" s="22" t="s">
        <v>203</v>
      </c>
      <c r="F29" s="21"/>
      <c r="G29" s="21">
        <v>1.75</v>
      </c>
      <c r="H29" s="21"/>
      <c r="J29" s="112">
        <f t="shared" si="1"/>
        <v>1.75</v>
      </c>
      <c r="K29" s="109" t="s">
        <v>85</v>
      </c>
      <c r="L29" s="34"/>
      <c r="N29" s="38"/>
      <c r="P29" s="27"/>
      <c r="R29" s="65"/>
      <c r="T29" s="64">
        <f t="shared" si="7"/>
        <v>1.75</v>
      </c>
      <c r="X29" s="72">
        <f t="shared" si="8"/>
        <v>1.75</v>
      </c>
      <c r="Y29" s="881"/>
    </row>
    <row r="30" spans="1:25" ht="26.25" thickBot="1" x14ac:dyDescent="0.3">
      <c r="A30" s="880"/>
      <c r="B30" s="880"/>
      <c r="C30" s="880"/>
      <c r="D30" s="21" t="s">
        <v>190</v>
      </c>
      <c r="E30" s="22" t="s">
        <v>204</v>
      </c>
      <c r="F30" s="21"/>
      <c r="G30" s="21">
        <v>1.75</v>
      </c>
      <c r="H30" s="21"/>
      <c r="J30" s="112">
        <f t="shared" si="1"/>
        <v>1.75</v>
      </c>
      <c r="K30" s="109" t="s">
        <v>85</v>
      </c>
      <c r="L30" s="34"/>
      <c r="N30" s="38"/>
      <c r="P30" s="27"/>
      <c r="R30" s="65"/>
      <c r="T30" s="64">
        <f t="shared" si="7"/>
        <v>1.75</v>
      </c>
      <c r="X30" s="73">
        <f t="shared" si="8"/>
        <v>1.75</v>
      </c>
      <c r="Y30" s="880"/>
    </row>
    <row r="31" spans="1:25" ht="15.75" thickBot="1" x14ac:dyDescent="0.3">
      <c r="A31" s="879">
        <v>4</v>
      </c>
      <c r="B31" s="879" t="s">
        <v>205</v>
      </c>
      <c r="C31" s="879">
        <f>SUM(F31:H35)</f>
        <v>8.75</v>
      </c>
      <c r="D31" s="21" t="s">
        <v>115</v>
      </c>
      <c r="E31" s="22" t="s">
        <v>167</v>
      </c>
      <c r="F31" s="21">
        <v>1.75</v>
      </c>
      <c r="G31" s="23"/>
      <c r="H31" s="23"/>
      <c r="J31" s="112">
        <f t="shared" si="1"/>
        <v>1.75</v>
      </c>
      <c r="K31" s="109" t="s">
        <v>85</v>
      </c>
      <c r="L31" s="34"/>
      <c r="N31" s="38"/>
      <c r="P31" s="27"/>
      <c r="R31" s="65"/>
      <c r="T31" s="64">
        <f t="shared" si="7"/>
        <v>1.75</v>
      </c>
      <c r="X31" s="71">
        <f t="shared" si="8"/>
        <v>1.75</v>
      </c>
      <c r="Y31" s="885">
        <f>SUM(X31:X35)</f>
        <v>8.75</v>
      </c>
    </row>
    <row r="32" spans="1:25" ht="15.75" thickBot="1" x14ac:dyDescent="0.3">
      <c r="A32" s="881"/>
      <c r="B32" s="881"/>
      <c r="C32" s="881"/>
      <c r="D32" s="21" t="s">
        <v>116</v>
      </c>
      <c r="E32" s="22" t="s">
        <v>206</v>
      </c>
      <c r="F32" s="21">
        <v>1.4</v>
      </c>
      <c r="G32" s="23"/>
      <c r="H32" s="23"/>
      <c r="J32" s="112">
        <f t="shared" si="1"/>
        <v>1.4</v>
      </c>
      <c r="K32" s="109" t="s">
        <v>85</v>
      </c>
      <c r="L32" s="34"/>
      <c r="N32" s="38"/>
      <c r="P32" s="27"/>
      <c r="R32" s="65"/>
      <c r="T32" s="64">
        <f t="shared" si="7"/>
        <v>1.4</v>
      </c>
      <c r="X32" s="72">
        <f t="shared" si="8"/>
        <v>1.4</v>
      </c>
      <c r="Y32" s="886"/>
    </row>
    <row r="33" spans="1:25" ht="15.75" thickBot="1" x14ac:dyDescent="0.3">
      <c r="A33" s="881"/>
      <c r="B33" s="881"/>
      <c r="C33" s="881"/>
      <c r="D33" s="21" t="s">
        <v>169</v>
      </c>
      <c r="E33" s="22" t="s">
        <v>207</v>
      </c>
      <c r="F33" s="21">
        <v>1.4</v>
      </c>
      <c r="G33" s="23"/>
      <c r="H33" s="23"/>
      <c r="J33" s="112">
        <f t="shared" si="1"/>
        <v>1.4</v>
      </c>
      <c r="K33" s="109" t="s">
        <v>85</v>
      </c>
      <c r="L33" s="34"/>
      <c r="N33" s="38"/>
      <c r="P33" s="27"/>
      <c r="R33" s="65"/>
      <c r="T33" s="64">
        <f t="shared" si="7"/>
        <v>1.4</v>
      </c>
      <c r="X33" s="72">
        <f t="shared" si="8"/>
        <v>1.4</v>
      </c>
      <c r="Y33" s="886"/>
    </row>
    <row r="34" spans="1:25" ht="15.75" thickBot="1" x14ac:dyDescent="0.3">
      <c r="A34" s="881"/>
      <c r="B34" s="881"/>
      <c r="C34" s="881"/>
      <c r="D34" s="21" t="s">
        <v>170</v>
      </c>
      <c r="E34" s="22" t="s">
        <v>168</v>
      </c>
      <c r="F34" s="21">
        <v>1.95</v>
      </c>
      <c r="G34" s="21"/>
      <c r="H34" s="21"/>
      <c r="J34" s="112">
        <f t="shared" si="1"/>
        <v>1.95</v>
      </c>
      <c r="K34" s="109" t="s">
        <v>85</v>
      </c>
      <c r="L34" s="34"/>
      <c r="N34" s="38"/>
      <c r="P34" s="27"/>
      <c r="R34" s="65"/>
      <c r="T34" s="64">
        <f t="shared" si="7"/>
        <v>1.95</v>
      </c>
      <c r="X34" s="72">
        <f t="shared" si="8"/>
        <v>1.95</v>
      </c>
      <c r="Y34" s="886"/>
    </row>
    <row r="35" spans="1:25" ht="26.25" thickBot="1" x14ac:dyDescent="0.3">
      <c r="A35" s="880"/>
      <c r="B35" s="880"/>
      <c r="C35" s="880"/>
      <c r="D35" s="21" t="s">
        <v>171</v>
      </c>
      <c r="E35" s="22" t="s">
        <v>208</v>
      </c>
      <c r="F35" s="21">
        <v>2.25</v>
      </c>
      <c r="G35" s="21"/>
      <c r="H35" s="21"/>
      <c r="J35" s="112">
        <f t="shared" si="1"/>
        <v>2.25</v>
      </c>
      <c r="K35" s="109" t="s">
        <v>85</v>
      </c>
      <c r="L35" s="34"/>
      <c r="N35" s="38"/>
      <c r="P35" s="27"/>
      <c r="R35" s="65"/>
      <c r="T35" s="64">
        <f t="shared" si="7"/>
        <v>2.25</v>
      </c>
      <c r="X35" s="73">
        <f t="shared" si="8"/>
        <v>2.25</v>
      </c>
      <c r="Y35" s="880"/>
    </row>
    <row r="36" spans="1:25" ht="22.5" customHeight="1" thickBot="1" x14ac:dyDescent="0.3">
      <c r="A36" s="879">
        <v>5</v>
      </c>
      <c r="B36" s="879" t="s">
        <v>117</v>
      </c>
      <c r="C36" s="879">
        <f>SUM(F36:H37)</f>
        <v>2</v>
      </c>
      <c r="D36" s="21" t="s">
        <v>118</v>
      </c>
      <c r="E36" s="22" t="s">
        <v>119</v>
      </c>
      <c r="F36" s="23"/>
      <c r="G36" s="21"/>
      <c r="H36" s="21">
        <v>1.55</v>
      </c>
      <c r="J36" s="112">
        <f t="shared" si="1"/>
        <v>1.55</v>
      </c>
      <c r="K36" s="110"/>
      <c r="L36" s="35" t="s">
        <v>85</v>
      </c>
      <c r="N36" s="39">
        <f>ROUND(J36/SUM('Tabella PE'!F14:F27),3)</f>
        <v>0.192</v>
      </c>
      <c r="P36" s="26">
        <f>P9</f>
        <v>2385497.6640000003</v>
      </c>
      <c r="R36" s="64">
        <f>P36/('Appalto Specifico BA'!$C$23-SUM('Appalto Specifico BA'!$C$11,'Appalto Specifico BA'!$C$14))</f>
        <v>0.4458115673404075</v>
      </c>
      <c r="T36" s="64">
        <f t="shared" ref="T36:T37" si="9">N36*R36*(1-$V$3)*30</f>
        <v>2.0265960395077833</v>
      </c>
      <c r="X36" s="71">
        <f t="shared" si="3"/>
        <v>1.677</v>
      </c>
      <c r="Y36" s="885">
        <f>SUM(X36:X37)</f>
        <v>1.792</v>
      </c>
    </row>
    <row r="37" spans="1:25" ht="20.45" customHeight="1" thickBot="1" x14ac:dyDescent="0.3">
      <c r="A37" s="880"/>
      <c r="B37" s="880"/>
      <c r="C37" s="880"/>
      <c r="D37" s="21" t="s">
        <v>120</v>
      </c>
      <c r="E37" s="22" t="s">
        <v>177</v>
      </c>
      <c r="F37" s="23"/>
      <c r="G37" s="21"/>
      <c r="H37" s="21">
        <v>0.45</v>
      </c>
      <c r="I37" s="36"/>
      <c r="J37" s="113">
        <f t="shared" si="1"/>
        <v>0.45</v>
      </c>
      <c r="K37" s="111"/>
      <c r="L37" s="85" t="s">
        <v>85</v>
      </c>
      <c r="N37" s="67">
        <f>ROUND(J37/'Tabella PE'!F34,3)</f>
        <v>0.84899999999999998</v>
      </c>
      <c r="O37" s="36"/>
      <c r="P37" s="68">
        <f>'Appalto Specifico BA'!C17</f>
        <v>37113.566666666666</v>
      </c>
      <c r="Q37" s="36"/>
      <c r="R37" s="69">
        <f>P37/('Appalto Specifico BA'!$C$23-SUM('Appalto Specifico BA'!$C$11,'Appalto Specifico BA'!$C$14))</f>
        <v>6.935935245275247E-3</v>
      </c>
      <c r="S37" s="36"/>
      <c r="T37" s="70">
        <f t="shared" si="9"/>
        <v>0.13942072866564645</v>
      </c>
      <c r="U37" s="36"/>
      <c r="V37" s="36"/>
      <c r="W37" s="36"/>
      <c r="X37" s="73">
        <f t="shared" si="3"/>
        <v>0.115</v>
      </c>
      <c r="Y37" s="880"/>
    </row>
    <row r="38" spans="1:25" ht="15.75" thickBot="1" x14ac:dyDescent="0.3">
      <c r="B38" s="414" t="s">
        <v>181</v>
      </c>
      <c r="C38" s="414">
        <f>SUM(C3:C37)</f>
        <v>70</v>
      </c>
      <c r="F38" s="882" t="s">
        <v>181</v>
      </c>
      <c r="G38" s="883"/>
      <c r="H38" s="884"/>
      <c r="J38" s="414">
        <f>SUM(J3:J37)</f>
        <v>69.999999999999986</v>
      </c>
      <c r="K38" s="415">
        <f>SUMIF(K3:K37,"X",J3:J37)</f>
        <v>36</v>
      </c>
      <c r="L38" s="414">
        <f>SUMIF(L3:L37,"X",J3:J37)</f>
        <v>34</v>
      </c>
      <c r="T38" s="32"/>
      <c r="X38" s="417">
        <f>SUM(X3:X37)</f>
        <v>69.998999999999995</v>
      </c>
      <c r="Y38" s="417">
        <f>SUM(Y3:Y37)</f>
        <v>69.998999999999995</v>
      </c>
    </row>
  </sheetData>
  <sheetProtection algorithmName="SHA-512" hashValue="/9iE26oOrRBNgzPaKtOWYOtcm+9ReqWVJthEUOy3vk6c5bPhH4MSR7Uoj/YA1OaHDr5CyxZwLpp+E+gUgtPDUg==" saltValue="b+tXUmm5uAg85BfxjiT6sg==" spinCount="100000" sheet="1" objects="1" scenarios="1"/>
  <mergeCells count="23">
    <mergeCell ref="F38:H38"/>
    <mergeCell ref="Y31:Y35"/>
    <mergeCell ref="A1:L1"/>
    <mergeCell ref="N1:Y1"/>
    <mergeCell ref="Y3:Y6"/>
    <mergeCell ref="Y7:Y8"/>
    <mergeCell ref="Y9:Y30"/>
    <mergeCell ref="Y36:Y37"/>
    <mergeCell ref="A3:A6"/>
    <mergeCell ref="B3:B6"/>
    <mergeCell ref="C3:C6"/>
    <mergeCell ref="A7:A8"/>
    <mergeCell ref="B7:B8"/>
    <mergeCell ref="C7:C8"/>
    <mergeCell ref="A36:A37"/>
    <mergeCell ref="B36:B37"/>
    <mergeCell ref="C36:C37"/>
    <mergeCell ref="A9:A30"/>
    <mergeCell ref="B9:B30"/>
    <mergeCell ref="C9:C30"/>
    <mergeCell ref="A31:A35"/>
    <mergeCell ref="B31:B35"/>
    <mergeCell ref="C31:C35"/>
  </mergeCells>
  <pageMargins left="0.7" right="0.7" top="0.75" bottom="0.75" header="0.3" footer="0.3"/>
  <pageSetup paperSize="9" orientation="portrait" r:id="rId1"/>
  <ignoredErrors>
    <ignoredError sqref="N12 N23 N14 N9:N10 N2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29">
    <tabColor theme="0"/>
  </sheetPr>
  <dimension ref="B3:H21"/>
  <sheetViews>
    <sheetView zoomScale="130" zoomScaleNormal="130" workbookViewId="0">
      <selection activeCell="C6" sqref="C6"/>
    </sheetView>
  </sheetViews>
  <sheetFormatPr defaultColWidth="8.7109375" defaultRowHeight="15" x14ac:dyDescent="0.25"/>
  <cols>
    <col min="1" max="1" width="1.5703125" style="29" customWidth="1"/>
    <col min="2" max="2" width="4.85546875" style="29" customWidth="1"/>
    <col min="3" max="3" width="44.85546875" style="29" customWidth="1"/>
    <col min="4" max="4" width="16.7109375" style="29" hidden="1" customWidth="1"/>
    <col min="5" max="8" width="13" style="29" customWidth="1"/>
    <col min="9" max="10" width="8.7109375" style="29" customWidth="1"/>
    <col min="11" max="37" width="8.7109375" style="29"/>
    <col min="38" max="38" width="8.7109375" style="29" customWidth="1"/>
    <col min="39" max="16384" width="8.7109375" style="29"/>
  </cols>
  <sheetData>
    <row r="3" spans="2:8" s="41" customFormat="1" ht="18.75" x14ac:dyDescent="0.3">
      <c r="B3" s="946" t="s">
        <v>245</v>
      </c>
      <c r="C3" s="947"/>
      <c r="D3" s="947"/>
      <c r="E3" s="947"/>
      <c r="F3" s="947"/>
      <c r="G3" s="947"/>
      <c r="H3" s="948"/>
    </row>
    <row r="4" spans="2:8" s="41" customFormat="1" ht="18.75" x14ac:dyDescent="0.3">
      <c r="B4" s="662" t="s">
        <v>1208</v>
      </c>
      <c r="C4" s="663" t="s">
        <v>1244</v>
      </c>
      <c r="D4" s="664"/>
      <c r="E4" s="665" t="s">
        <v>1248</v>
      </c>
      <c r="F4" s="665" t="s">
        <v>1247</v>
      </c>
      <c r="G4" s="665" t="s">
        <v>1246</v>
      </c>
      <c r="H4" s="666" t="s">
        <v>1245</v>
      </c>
    </row>
    <row r="5" spans="2:8" s="672" customFormat="1" ht="92.45" customHeight="1" x14ac:dyDescent="0.25">
      <c r="B5" s="667" t="s">
        <v>246</v>
      </c>
      <c r="C5" s="668" t="str">
        <f>IFERROR(HLOOKUP(D5,'Punteggi PT'!$I$2:$J$3,2,FALSE),"")</f>
        <v>Romeo Gestioni Spa</v>
      </c>
      <c r="D5" s="669" t="str">
        <f>AS_CalcoloPtot!B15</f>
        <v>FORNITORE 1</v>
      </c>
      <c r="E5" s="670">
        <f>IFERROR(IF(D5="FORNITORE 1",AS_CalcoloPtot!G3,AS_CalcoloPtot!G9),"")</f>
        <v>31.954999999999998</v>
      </c>
      <c r="F5" s="670">
        <f>IFERROR(IF(D5="FORNITORE 1",AS_CalcoloPtot!G4,AS_CalcoloPtot!G10),"")</f>
        <v>33.293999999999997</v>
      </c>
      <c r="G5" s="670">
        <f>IFERROR(IF(D5="FORNITORE 1",AS_CalcoloPtot!G5,AS_CalcoloPtot!G11),"")</f>
        <v>27.190999999999999</v>
      </c>
      <c r="H5" s="671">
        <f>IFERROR(IF(D5="FORNITORE 1",AS_CalcoloPtot!G6,AS_CalcoloPtot!G12),"")</f>
        <v>92.44</v>
      </c>
    </row>
    <row r="6" spans="2:8" s="672" customFormat="1" ht="92.45" customHeight="1" x14ac:dyDescent="0.25">
      <c r="B6" s="673" t="s">
        <v>247</v>
      </c>
      <c r="C6" s="674" t="str">
        <f>IFERROR(HLOOKUP(D6,'Punteggi PT'!$I$2:$J$3,2,FALSE),"")</f>
        <v>DUSSMANN SERVICE SRL,  G.R. ELECTRIC S.R.L., CPL CONCORDIA SOC. COOP.</v>
      </c>
      <c r="D6" s="675" t="str">
        <f>AS_CalcoloPtot!B16</f>
        <v>FORNITORE 2</v>
      </c>
      <c r="E6" s="676">
        <f>IFERROR(IF(D6="FORNITORE 1",AS_CalcoloPtot!G3,AS_CalcoloPtot!G9),"")</f>
        <v>27.404999999999998</v>
      </c>
      <c r="F6" s="676">
        <f>IFERROR(IF(D6="FORNITORE 1",AS_CalcoloPtot!G4,AS_CalcoloPtot!G10),"")</f>
        <v>31.160999999999998</v>
      </c>
      <c r="G6" s="676">
        <f>IFERROR(IF(D6="FORNITORE 1",AS_CalcoloPtot!G5,AS_CalcoloPtot!G11),"")</f>
        <v>30</v>
      </c>
      <c r="H6" s="677">
        <f>IFERROR(IF(D6="FORNITORE 1",AS_CalcoloPtot!G6,AS_CalcoloPtot!G12),"")</f>
        <v>88.566000000000003</v>
      </c>
    </row>
    <row r="21" ht="29.45" customHeight="1" x14ac:dyDescent="0.25"/>
  </sheetData>
  <sheetProtection algorithmName="SHA-512" hashValue="BM2iaUd8s8/W5TLEEBF9oltGEjSVp1smVhBj3FIDID50d49mluuBoF0C90IdmU9gWwW3t7I5jXlFANWitNFPnw==" saltValue="9Ykl+oD3CK5Fo86yuVDtIg==" spinCount="100000" sheet="1" objects="1" scenarios="1"/>
  <dataConsolidate/>
  <mergeCells count="1">
    <mergeCell ref="B3:H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0">
    <tabColor theme="0"/>
  </sheetPr>
  <dimension ref="B2:AL32"/>
  <sheetViews>
    <sheetView tabSelected="1" topLeftCell="A7" zoomScale="120" zoomScaleNormal="120" workbookViewId="0">
      <pane xSplit="7" topLeftCell="H1" activePane="topRight" state="frozen"/>
      <selection pane="topRight" activeCell="D13" sqref="D13"/>
    </sheetView>
  </sheetViews>
  <sheetFormatPr defaultRowHeight="15" x14ac:dyDescent="0.25"/>
  <cols>
    <col min="1" max="1" width="1.85546875" customWidth="1"/>
    <col min="2" max="2" width="53.42578125" customWidth="1"/>
    <col min="3" max="3" width="19.5703125" style="1" bestFit="1" customWidth="1"/>
    <col min="4" max="4" width="29.85546875" style="1" bestFit="1" customWidth="1"/>
    <col min="5" max="5" width="21.42578125" style="522" bestFit="1" customWidth="1"/>
    <col min="6" max="6" width="8.42578125" customWidth="1"/>
    <col min="7" max="7" width="10.140625" customWidth="1"/>
    <col min="8" max="27" width="21.5703125" customWidth="1"/>
    <col min="38" max="38" width="8.7109375" customWidth="1"/>
  </cols>
  <sheetData>
    <row r="2" spans="2:38" ht="15.75" thickBot="1" x14ac:dyDescent="0.3">
      <c r="C2"/>
      <c r="D2"/>
      <c r="AL2" t="s">
        <v>162</v>
      </c>
    </row>
    <row r="3" spans="2:38" ht="15.95" customHeight="1" thickBot="1" x14ac:dyDescent="0.3">
      <c r="B3" s="378" t="s">
        <v>1216</v>
      </c>
      <c r="C3" s="379" t="s">
        <v>1157</v>
      </c>
      <c r="D3" s="379" t="s">
        <v>1355</v>
      </c>
      <c r="E3" s="370" t="s">
        <v>1356</v>
      </c>
      <c r="F3" s="379" t="s">
        <v>137</v>
      </c>
      <c r="G3" s="379" t="s">
        <v>146</v>
      </c>
      <c r="H3" s="559" t="s">
        <v>308</v>
      </c>
      <c r="I3" s="559" t="s">
        <v>309</v>
      </c>
      <c r="J3" s="559" t="s">
        <v>310</v>
      </c>
      <c r="K3" s="559" t="s">
        <v>311</v>
      </c>
      <c r="L3" s="559" t="s">
        <v>312</v>
      </c>
      <c r="M3" s="559" t="s">
        <v>313</v>
      </c>
      <c r="N3" s="559" t="s">
        <v>314</v>
      </c>
      <c r="O3" s="559" t="s">
        <v>315</v>
      </c>
      <c r="P3" s="559" t="s">
        <v>316</v>
      </c>
      <c r="Q3" s="559" t="s">
        <v>317</v>
      </c>
      <c r="R3" s="559" t="s">
        <v>318</v>
      </c>
      <c r="S3" s="559" t="s">
        <v>319</v>
      </c>
      <c r="T3" s="559" t="s">
        <v>320</v>
      </c>
      <c r="U3" s="559" t="s">
        <v>321</v>
      </c>
      <c r="V3" s="559" t="s">
        <v>322</v>
      </c>
      <c r="W3" s="559" t="s">
        <v>323</v>
      </c>
      <c r="X3" s="559" t="s">
        <v>324</v>
      </c>
      <c r="Y3" s="559" t="s">
        <v>325</v>
      </c>
      <c r="Z3" s="559" t="s">
        <v>326</v>
      </c>
      <c r="AA3" s="559" t="s">
        <v>327</v>
      </c>
      <c r="AL3" t="s">
        <v>163</v>
      </c>
    </row>
    <row r="4" spans="2:38" ht="16.5" thickBot="1" x14ac:dyDescent="0.3">
      <c r="B4" s="382" t="s">
        <v>123</v>
      </c>
      <c r="C4" s="840">
        <f>IFERROR(SUM(C5:C11),"")</f>
        <v>1269383.9080000001</v>
      </c>
      <c r="D4" s="383"/>
      <c r="E4" s="523"/>
      <c r="F4" s="380">
        <f t="shared" ref="F4:F12" si="0">C4/$C$25</f>
        <v>0.30675266697700027</v>
      </c>
      <c r="G4" s="381"/>
      <c r="H4" s="560"/>
      <c r="I4" s="560"/>
      <c r="J4" s="560"/>
      <c r="K4" s="560"/>
      <c r="L4" s="560"/>
      <c r="M4" s="560"/>
      <c r="N4" s="560"/>
      <c r="O4" s="560"/>
      <c r="P4" s="560"/>
      <c r="Q4" s="560"/>
      <c r="R4" s="560"/>
      <c r="S4" s="560"/>
      <c r="T4" s="560"/>
      <c r="U4" s="560"/>
      <c r="V4" s="560"/>
      <c r="W4" s="560"/>
      <c r="X4" s="560"/>
      <c r="Y4" s="560"/>
      <c r="Z4" s="560"/>
      <c r="AA4" s="560"/>
    </row>
    <row r="5" spans="2:38" ht="15" customHeight="1" x14ac:dyDescent="0.25">
      <c r="B5" s="389" t="s">
        <v>2</v>
      </c>
      <c r="C5" s="841">
        <f>SUM(H5:AA5)</f>
        <v>126217.03999999998</v>
      </c>
      <c r="D5" s="390">
        <f>($C$25/$C$23)*C5</f>
        <v>124323.7844</v>
      </c>
      <c r="E5" s="833">
        <f>IFERROR(D5/48,"")</f>
        <v>2590.0788416666669</v>
      </c>
      <c r="F5" s="391">
        <f t="shared" si="0"/>
        <v>3.0500948841351402E-2</v>
      </c>
      <c r="G5" s="392" t="str">
        <f>'Appalto Specifico BA'!E5</f>
        <v>si</v>
      </c>
      <c r="H5" s="565">
        <f>AS_CalcoloPtot!K21</f>
        <v>126217.03999999998</v>
      </c>
      <c r="I5" s="565">
        <f>AS_CalcoloPtot!L21</f>
        <v>0</v>
      </c>
      <c r="J5" s="565">
        <f>AS_CalcoloPtot!M21</f>
        <v>0</v>
      </c>
      <c r="K5" s="565">
        <f>AS_CalcoloPtot!N21</f>
        <v>0</v>
      </c>
      <c r="L5" s="565">
        <f>AS_CalcoloPtot!O21</f>
        <v>0</v>
      </c>
      <c r="M5" s="565">
        <f>AS_CalcoloPtot!P21</f>
        <v>0</v>
      </c>
      <c r="N5" s="565">
        <f>AS_CalcoloPtot!Q21</f>
        <v>0</v>
      </c>
      <c r="O5" s="565">
        <f>AS_CalcoloPtot!R21</f>
        <v>0</v>
      </c>
      <c r="P5" s="565">
        <f>AS_CalcoloPtot!S21</f>
        <v>0</v>
      </c>
      <c r="Q5" s="565">
        <f>AS_CalcoloPtot!T21</f>
        <v>0</v>
      </c>
      <c r="R5" s="565">
        <f>AS_CalcoloPtot!U21</f>
        <v>0</v>
      </c>
      <c r="S5" s="565">
        <f>AS_CalcoloPtot!V21</f>
        <v>0</v>
      </c>
      <c r="T5" s="565">
        <f>AS_CalcoloPtot!W21</f>
        <v>0</v>
      </c>
      <c r="U5" s="565">
        <f>AS_CalcoloPtot!X21</f>
        <v>0</v>
      </c>
      <c r="V5" s="565">
        <f>AS_CalcoloPtot!Y21</f>
        <v>0</v>
      </c>
      <c r="W5" s="565">
        <f>AS_CalcoloPtot!Z21</f>
        <v>0</v>
      </c>
      <c r="X5" s="565">
        <f>AS_CalcoloPtot!AA21</f>
        <v>0</v>
      </c>
      <c r="Y5" s="565">
        <f>AS_CalcoloPtot!AB21</f>
        <v>0</v>
      </c>
      <c r="Z5" s="565">
        <f>AS_CalcoloPtot!AC21</f>
        <v>0</v>
      </c>
      <c r="AA5" s="565">
        <f>AS_CalcoloPtot!AD21</f>
        <v>0</v>
      </c>
    </row>
    <row r="6" spans="2:38" x14ac:dyDescent="0.25">
      <c r="B6" s="393" t="s">
        <v>122</v>
      </c>
      <c r="C6" s="842">
        <f t="shared" ref="C6:C11" si="1">SUM(H6:AA6)</f>
        <v>99217.804000000004</v>
      </c>
      <c r="D6" s="394">
        <f t="shared" ref="D6:D11" si="2">($C$25/$C$23)*C6</f>
        <v>97729.53694000002</v>
      </c>
      <c r="E6" s="834">
        <f t="shared" ref="E6:E11" si="3">IFERROR(D6/48,"")</f>
        <v>2036.0320195833337</v>
      </c>
      <c r="F6" s="395">
        <f t="shared" si="0"/>
        <v>2.3976454874517984E-2</v>
      </c>
      <c r="G6" s="396" t="str">
        <f>'Appalto Specifico BA'!E6</f>
        <v>si</v>
      </c>
      <c r="H6" s="566">
        <f>AS_CalcoloPtot!K22</f>
        <v>99217.804000000004</v>
      </c>
      <c r="I6" s="566">
        <f>AS_CalcoloPtot!L22</f>
        <v>0</v>
      </c>
      <c r="J6" s="566">
        <f>AS_CalcoloPtot!M22</f>
        <v>0</v>
      </c>
      <c r="K6" s="566">
        <f>AS_CalcoloPtot!N22</f>
        <v>0</v>
      </c>
      <c r="L6" s="566">
        <f>AS_CalcoloPtot!O22</f>
        <v>0</v>
      </c>
      <c r="M6" s="566">
        <f>AS_CalcoloPtot!P22</f>
        <v>0</v>
      </c>
      <c r="N6" s="566">
        <f>AS_CalcoloPtot!Q22</f>
        <v>0</v>
      </c>
      <c r="O6" s="566">
        <f>AS_CalcoloPtot!R22</f>
        <v>0</v>
      </c>
      <c r="P6" s="566">
        <f>AS_CalcoloPtot!S22</f>
        <v>0</v>
      </c>
      <c r="Q6" s="566">
        <f>AS_CalcoloPtot!T22</f>
        <v>0</v>
      </c>
      <c r="R6" s="566">
        <f>AS_CalcoloPtot!U22</f>
        <v>0</v>
      </c>
      <c r="S6" s="566">
        <f>AS_CalcoloPtot!V22</f>
        <v>0</v>
      </c>
      <c r="T6" s="566">
        <f>AS_CalcoloPtot!W22</f>
        <v>0</v>
      </c>
      <c r="U6" s="566">
        <f>AS_CalcoloPtot!X22</f>
        <v>0</v>
      </c>
      <c r="V6" s="566">
        <f>AS_CalcoloPtot!Y22</f>
        <v>0</v>
      </c>
      <c r="W6" s="566">
        <f>AS_CalcoloPtot!Z22</f>
        <v>0</v>
      </c>
      <c r="X6" s="566">
        <f>AS_CalcoloPtot!AA22</f>
        <v>0</v>
      </c>
      <c r="Y6" s="566">
        <f>AS_CalcoloPtot!AB22</f>
        <v>0</v>
      </c>
      <c r="Z6" s="566">
        <f>AS_CalcoloPtot!AC22</f>
        <v>0</v>
      </c>
      <c r="AA6" s="566">
        <f>AS_CalcoloPtot!AD22</f>
        <v>0</v>
      </c>
    </row>
    <row r="7" spans="2:38" x14ac:dyDescent="0.25">
      <c r="B7" s="397" t="s">
        <v>474</v>
      </c>
      <c r="C7" s="843">
        <f t="shared" si="1"/>
        <v>240631.04800000004</v>
      </c>
      <c r="D7" s="398">
        <f t="shared" si="2"/>
        <v>237021.58228000009</v>
      </c>
      <c r="E7" s="835">
        <f t="shared" si="3"/>
        <v>4937.9496308333355</v>
      </c>
      <c r="F7" s="399">
        <f t="shared" si="0"/>
        <v>5.8149638786401392E-2</v>
      </c>
      <c r="G7" s="400" t="str">
        <f>'Appalto Specifico BA'!E7</f>
        <v>si</v>
      </c>
      <c r="H7" s="567">
        <f>AS_CalcoloPtot!K23</f>
        <v>240631.04800000004</v>
      </c>
      <c r="I7" s="567">
        <f>AS_CalcoloPtot!L23</f>
        <v>0</v>
      </c>
      <c r="J7" s="567">
        <f>AS_CalcoloPtot!M23</f>
        <v>0</v>
      </c>
      <c r="K7" s="567">
        <f>AS_CalcoloPtot!N23</f>
        <v>0</v>
      </c>
      <c r="L7" s="567">
        <f>AS_CalcoloPtot!O23</f>
        <v>0</v>
      </c>
      <c r="M7" s="567">
        <f>AS_CalcoloPtot!P23</f>
        <v>0</v>
      </c>
      <c r="N7" s="567">
        <f>AS_CalcoloPtot!Q23</f>
        <v>0</v>
      </c>
      <c r="O7" s="567">
        <f>AS_CalcoloPtot!R23</f>
        <v>0</v>
      </c>
      <c r="P7" s="567">
        <f>AS_CalcoloPtot!S23</f>
        <v>0</v>
      </c>
      <c r="Q7" s="567">
        <f>AS_CalcoloPtot!T23</f>
        <v>0</v>
      </c>
      <c r="R7" s="567">
        <f>AS_CalcoloPtot!U23</f>
        <v>0</v>
      </c>
      <c r="S7" s="567">
        <f>AS_CalcoloPtot!V23</f>
        <v>0</v>
      </c>
      <c r="T7" s="567">
        <f>AS_CalcoloPtot!W23</f>
        <v>0</v>
      </c>
      <c r="U7" s="567">
        <f>AS_CalcoloPtot!X23</f>
        <v>0</v>
      </c>
      <c r="V7" s="567">
        <f>AS_CalcoloPtot!Y23</f>
        <v>0</v>
      </c>
      <c r="W7" s="567">
        <f>AS_CalcoloPtot!Z23</f>
        <v>0</v>
      </c>
      <c r="X7" s="567">
        <f>AS_CalcoloPtot!AA23</f>
        <v>0</v>
      </c>
      <c r="Y7" s="567">
        <f>AS_CalcoloPtot!AB23</f>
        <v>0</v>
      </c>
      <c r="Z7" s="567">
        <f>AS_CalcoloPtot!AC23</f>
        <v>0</v>
      </c>
      <c r="AA7" s="567">
        <f>AS_CalcoloPtot!AD23</f>
        <v>0</v>
      </c>
    </row>
    <row r="8" spans="2:38" x14ac:dyDescent="0.25">
      <c r="B8" s="393" t="s">
        <v>4</v>
      </c>
      <c r="C8" s="842">
        <f t="shared" si="1"/>
        <v>30429.887999999995</v>
      </c>
      <c r="D8" s="394">
        <f t="shared" si="2"/>
        <v>29973.439680000003</v>
      </c>
      <c r="E8" s="834">
        <f t="shared" si="3"/>
        <v>624.44666000000007</v>
      </c>
      <c r="F8" s="395">
        <f t="shared" si="0"/>
        <v>7.3535273615674473E-3</v>
      </c>
      <c r="G8" s="396" t="str">
        <f>'Appalto Specifico BA'!E8</f>
        <v>si</v>
      </c>
      <c r="H8" s="566">
        <f>AS_CalcoloPtot!K24</f>
        <v>30429.887999999995</v>
      </c>
      <c r="I8" s="566">
        <f>AS_CalcoloPtot!L24</f>
        <v>0</v>
      </c>
      <c r="J8" s="566">
        <f>AS_CalcoloPtot!M24</f>
        <v>0</v>
      </c>
      <c r="K8" s="566">
        <f>AS_CalcoloPtot!N24</f>
        <v>0</v>
      </c>
      <c r="L8" s="566">
        <f>AS_CalcoloPtot!O24</f>
        <v>0</v>
      </c>
      <c r="M8" s="566">
        <f>AS_CalcoloPtot!P24</f>
        <v>0</v>
      </c>
      <c r="N8" s="566">
        <f>AS_CalcoloPtot!Q24</f>
        <v>0</v>
      </c>
      <c r="O8" s="566">
        <f>AS_CalcoloPtot!R24</f>
        <v>0</v>
      </c>
      <c r="P8" s="566">
        <f>AS_CalcoloPtot!S24</f>
        <v>0</v>
      </c>
      <c r="Q8" s="566">
        <f>AS_CalcoloPtot!T24</f>
        <v>0</v>
      </c>
      <c r="R8" s="566">
        <f>AS_CalcoloPtot!U24</f>
        <v>0</v>
      </c>
      <c r="S8" s="566">
        <f>AS_CalcoloPtot!V24</f>
        <v>0</v>
      </c>
      <c r="T8" s="566">
        <f>AS_CalcoloPtot!W24</f>
        <v>0</v>
      </c>
      <c r="U8" s="566">
        <f>AS_CalcoloPtot!X24</f>
        <v>0</v>
      </c>
      <c r="V8" s="566">
        <f>AS_CalcoloPtot!Y24</f>
        <v>0</v>
      </c>
      <c r="W8" s="566">
        <f>AS_CalcoloPtot!Z24</f>
        <v>0</v>
      </c>
      <c r="X8" s="566">
        <f>AS_CalcoloPtot!AA24</f>
        <v>0</v>
      </c>
      <c r="Y8" s="566">
        <f>AS_CalcoloPtot!AB24</f>
        <v>0</v>
      </c>
      <c r="Z8" s="566">
        <f>AS_CalcoloPtot!AC24</f>
        <v>0</v>
      </c>
      <c r="AA8" s="566">
        <f>AS_CalcoloPtot!AD24</f>
        <v>0</v>
      </c>
    </row>
    <row r="9" spans="2:38" x14ac:dyDescent="0.25">
      <c r="B9" s="397" t="s">
        <v>3</v>
      </c>
      <c r="C9" s="843">
        <f t="shared" si="1"/>
        <v>0</v>
      </c>
      <c r="D9" s="398">
        <f t="shared" si="2"/>
        <v>0</v>
      </c>
      <c r="E9" s="835">
        <f t="shared" si="3"/>
        <v>0</v>
      </c>
      <c r="F9" s="399">
        <f t="shared" si="0"/>
        <v>0</v>
      </c>
      <c r="G9" s="400" t="str">
        <f>'Appalto Specifico BA'!E9</f>
        <v>no</v>
      </c>
      <c r="H9" s="567">
        <f>AS_CalcoloPtot!K25</f>
        <v>0</v>
      </c>
      <c r="I9" s="567">
        <f>AS_CalcoloPtot!L25</f>
        <v>0</v>
      </c>
      <c r="J9" s="567">
        <f>AS_CalcoloPtot!M25</f>
        <v>0</v>
      </c>
      <c r="K9" s="567">
        <f>AS_CalcoloPtot!N25</f>
        <v>0</v>
      </c>
      <c r="L9" s="567">
        <f>AS_CalcoloPtot!O25</f>
        <v>0</v>
      </c>
      <c r="M9" s="567">
        <f>AS_CalcoloPtot!P25</f>
        <v>0</v>
      </c>
      <c r="N9" s="567">
        <f>AS_CalcoloPtot!Q25</f>
        <v>0</v>
      </c>
      <c r="O9" s="567">
        <f>AS_CalcoloPtot!R25</f>
        <v>0</v>
      </c>
      <c r="P9" s="567">
        <f>AS_CalcoloPtot!S25</f>
        <v>0</v>
      </c>
      <c r="Q9" s="567">
        <f>AS_CalcoloPtot!T25</f>
        <v>0</v>
      </c>
      <c r="R9" s="567">
        <f>AS_CalcoloPtot!U25</f>
        <v>0</v>
      </c>
      <c r="S9" s="567">
        <f>AS_CalcoloPtot!V25</f>
        <v>0</v>
      </c>
      <c r="T9" s="567">
        <f>AS_CalcoloPtot!W25</f>
        <v>0</v>
      </c>
      <c r="U9" s="567">
        <f>AS_CalcoloPtot!X25</f>
        <v>0</v>
      </c>
      <c r="V9" s="567">
        <f>AS_CalcoloPtot!Y25</f>
        <v>0</v>
      </c>
      <c r="W9" s="567">
        <f>AS_CalcoloPtot!Z25</f>
        <v>0</v>
      </c>
      <c r="X9" s="567">
        <f>AS_CalcoloPtot!AA25</f>
        <v>0</v>
      </c>
      <c r="Y9" s="567">
        <f>AS_CalcoloPtot!AB25</f>
        <v>0</v>
      </c>
      <c r="Z9" s="567">
        <f>AS_CalcoloPtot!AC25</f>
        <v>0</v>
      </c>
      <c r="AA9" s="567">
        <f>AS_CalcoloPtot!AD25</f>
        <v>0</v>
      </c>
    </row>
    <row r="10" spans="2:38" x14ac:dyDescent="0.25">
      <c r="B10" s="393" t="s">
        <v>124</v>
      </c>
      <c r="C10" s="842">
        <f t="shared" si="1"/>
        <v>0</v>
      </c>
      <c r="D10" s="394">
        <f t="shared" si="2"/>
        <v>0</v>
      </c>
      <c r="E10" s="834">
        <f t="shared" si="3"/>
        <v>0</v>
      </c>
      <c r="F10" s="395">
        <f t="shared" si="0"/>
        <v>0</v>
      </c>
      <c r="G10" s="396" t="str">
        <f>'Appalto Specifico BA'!E10</f>
        <v>no</v>
      </c>
      <c r="H10" s="566">
        <f>AS_CalcoloPtot!K26</f>
        <v>0</v>
      </c>
      <c r="I10" s="566">
        <f>AS_CalcoloPtot!L26</f>
        <v>0</v>
      </c>
      <c r="J10" s="566">
        <f>AS_CalcoloPtot!M26</f>
        <v>0</v>
      </c>
      <c r="K10" s="566">
        <f>AS_CalcoloPtot!N26</f>
        <v>0</v>
      </c>
      <c r="L10" s="566">
        <f>AS_CalcoloPtot!O26</f>
        <v>0</v>
      </c>
      <c r="M10" s="566">
        <f>AS_CalcoloPtot!P26</f>
        <v>0</v>
      </c>
      <c r="N10" s="566">
        <f>AS_CalcoloPtot!Q26</f>
        <v>0</v>
      </c>
      <c r="O10" s="566">
        <f>AS_CalcoloPtot!R26</f>
        <v>0</v>
      </c>
      <c r="P10" s="566">
        <f>AS_CalcoloPtot!S26</f>
        <v>0</v>
      </c>
      <c r="Q10" s="566">
        <f>AS_CalcoloPtot!T26</f>
        <v>0</v>
      </c>
      <c r="R10" s="566">
        <f>AS_CalcoloPtot!U26</f>
        <v>0</v>
      </c>
      <c r="S10" s="566">
        <f>AS_CalcoloPtot!V26</f>
        <v>0</v>
      </c>
      <c r="T10" s="566">
        <f>AS_CalcoloPtot!W26</f>
        <v>0</v>
      </c>
      <c r="U10" s="566">
        <f>AS_CalcoloPtot!X26</f>
        <v>0</v>
      </c>
      <c r="V10" s="566">
        <f>AS_CalcoloPtot!Y26</f>
        <v>0</v>
      </c>
      <c r="W10" s="566">
        <f>AS_CalcoloPtot!Z26</f>
        <v>0</v>
      </c>
      <c r="X10" s="566">
        <f>AS_CalcoloPtot!AA26</f>
        <v>0</v>
      </c>
      <c r="Y10" s="566">
        <f>AS_CalcoloPtot!AB26</f>
        <v>0</v>
      </c>
      <c r="Z10" s="566">
        <f>AS_CalcoloPtot!AC26</f>
        <v>0</v>
      </c>
      <c r="AA10" s="566">
        <f>AS_CalcoloPtot!AD26</f>
        <v>0</v>
      </c>
    </row>
    <row r="11" spans="2:38" ht="15.75" thickBot="1" x14ac:dyDescent="0.3">
      <c r="B11" s="401" t="s">
        <v>140</v>
      </c>
      <c r="C11" s="844">
        <f t="shared" si="1"/>
        <v>772888.12800000003</v>
      </c>
      <c r="D11" s="402">
        <f t="shared" si="2"/>
        <v>761294.80608000024</v>
      </c>
      <c r="E11" s="836">
        <f t="shared" si="3"/>
        <v>15860.308460000006</v>
      </c>
      <c r="F11" s="403">
        <f t="shared" si="0"/>
        <v>0.18677209711316206</v>
      </c>
      <c r="G11" s="489" t="str">
        <f>IF('Appalto Specifico BA'!E11="","",'Appalto Specifico BA'!E11)</f>
        <v>si</v>
      </c>
      <c r="H11" s="568">
        <f>AS_CalcoloPtot!K27</f>
        <v>772888.12800000003</v>
      </c>
      <c r="I11" s="568">
        <f>AS_CalcoloPtot!L27</f>
        <v>0</v>
      </c>
      <c r="J11" s="568">
        <f>AS_CalcoloPtot!M27</f>
        <v>0</v>
      </c>
      <c r="K11" s="568">
        <f>AS_CalcoloPtot!N27</f>
        <v>0</v>
      </c>
      <c r="L11" s="568">
        <f>AS_CalcoloPtot!O27</f>
        <v>0</v>
      </c>
      <c r="M11" s="568">
        <f>AS_CalcoloPtot!P27</f>
        <v>0</v>
      </c>
      <c r="N11" s="568">
        <f>AS_CalcoloPtot!Q27</f>
        <v>0</v>
      </c>
      <c r="O11" s="568">
        <f>AS_CalcoloPtot!R27</f>
        <v>0</v>
      </c>
      <c r="P11" s="568">
        <f>AS_CalcoloPtot!S27</f>
        <v>0</v>
      </c>
      <c r="Q11" s="568">
        <f>AS_CalcoloPtot!T27</f>
        <v>0</v>
      </c>
      <c r="R11" s="568">
        <f>AS_CalcoloPtot!U27</f>
        <v>0</v>
      </c>
      <c r="S11" s="568">
        <f>AS_CalcoloPtot!V27</f>
        <v>0</v>
      </c>
      <c r="T11" s="568">
        <f>AS_CalcoloPtot!W27</f>
        <v>0</v>
      </c>
      <c r="U11" s="568">
        <f>AS_CalcoloPtot!X27</f>
        <v>0</v>
      </c>
      <c r="V11" s="568">
        <f>AS_CalcoloPtot!Y27</f>
        <v>0</v>
      </c>
      <c r="W11" s="568">
        <f>AS_CalcoloPtot!Z27</f>
        <v>0</v>
      </c>
      <c r="X11" s="568">
        <f>AS_CalcoloPtot!AA27</f>
        <v>0</v>
      </c>
      <c r="Y11" s="568">
        <f>AS_CalcoloPtot!AB27</f>
        <v>0</v>
      </c>
      <c r="Z11" s="568">
        <f>AS_CalcoloPtot!AC27</f>
        <v>0</v>
      </c>
      <c r="AA11" s="568">
        <f>AS_CalcoloPtot!AD27</f>
        <v>0</v>
      </c>
    </row>
    <row r="12" spans="2:38" ht="16.5" thickBot="1" x14ac:dyDescent="0.3">
      <c r="B12" s="384" t="s">
        <v>125</v>
      </c>
      <c r="C12" s="845">
        <f>IFERROR(SUM(C13:C17),"")</f>
        <v>1773040.3446666661</v>
      </c>
      <c r="D12" s="375"/>
      <c r="E12" s="837"/>
      <c r="F12" s="380">
        <f t="shared" si="0"/>
        <v>0.42846364362791306</v>
      </c>
      <c r="G12" s="381"/>
      <c r="H12" s="569"/>
      <c r="I12" s="569"/>
      <c r="J12" s="569"/>
      <c r="K12" s="569"/>
      <c r="L12" s="569"/>
      <c r="M12" s="569"/>
      <c r="N12" s="569"/>
      <c r="O12" s="569"/>
      <c r="P12" s="569"/>
      <c r="Q12" s="569"/>
      <c r="R12" s="569"/>
      <c r="S12" s="569"/>
      <c r="T12" s="569"/>
      <c r="U12" s="569"/>
      <c r="V12" s="569"/>
      <c r="W12" s="569"/>
      <c r="X12" s="569"/>
      <c r="Y12" s="569"/>
      <c r="Z12" s="569"/>
      <c r="AA12" s="569"/>
    </row>
    <row r="13" spans="2:38" x14ac:dyDescent="0.25">
      <c r="B13" s="389" t="s">
        <v>5</v>
      </c>
      <c r="C13" s="841">
        <f t="shared" ref="C13:C17" si="4">SUM(H13:AA13)</f>
        <v>1517126.6879999996</v>
      </c>
      <c r="D13" s="390">
        <f t="shared" ref="D13:D17" si="5">($C$25/$C$23)*C13</f>
        <v>1494369.7876799998</v>
      </c>
      <c r="E13" s="833">
        <f t="shared" ref="E13:E17" si="6">IFERROR(D13/48,"")</f>
        <v>31132.703909999997</v>
      </c>
      <c r="F13" s="391">
        <f>C13/$C$25</f>
        <v>0.36662088967176609</v>
      </c>
      <c r="G13" s="392" t="str">
        <f>'Appalto Specifico BA'!E13</f>
        <v>si</v>
      </c>
      <c r="H13" s="565">
        <f>AS_CalcoloPtot!K29</f>
        <v>1517126.6879999996</v>
      </c>
      <c r="I13" s="565">
        <f>AS_CalcoloPtot!L29</f>
        <v>0</v>
      </c>
      <c r="J13" s="565">
        <f>AS_CalcoloPtot!M29</f>
        <v>0</v>
      </c>
      <c r="K13" s="565">
        <f>AS_CalcoloPtot!N29</f>
        <v>0</v>
      </c>
      <c r="L13" s="565">
        <f>AS_CalcoloPtot!O29</f>
        <v>0</v>
      </c>
      <c r="M13" s="565">
        <f>AS_CalcoloPtot!P29</f>
        <v>0</v>
      </c>
      <c r="N13" s="565">
        <f>AS_CalcoloPtot!Q29</f>
        <v>0</v>
      </c>
      <c r="O13" s="565">
        <f>AS_CalcoloPtot!R29</f>
        <v>0</v>
      </c>
      <c r="P13" s="565">
        <f>AS_CalcoloPtot!S29</f>
        <v>0</v>
      </c>
      <c r="Q13" s="565">
        <f>AS_CalcoloPtot!T29</f>
        <v>0</v>
      </c>
      <c r="R13" s="565">
        <f>AS_CalcoloPtot!U29</f>
        <v>0</v>
      </c>
      <c r="S13" s="565">
        <f>AS_CalcoloPtot!V29</f>
        <v>0</v>
      </c>
      <c r="T13" s="565">
        <f>AS_CalcoloPtot!W29</f>
        <v>0</v>
      </c>
      <c r="U13" s="565">
        <f>AS_CalcoloPtot!X29</f>
        <v>0</v>
      </c>
      <c r="V13" s="565">
        <f>AS_CalcoloPtot!Y29</f>
        <v>0</v>
      </c>
      <c r="W13" s="565">
        <f>AS_CalcoloPtot!Z29</f>
        <v>0</v>
      </c>
      <c r="X13" s="565">
        <f>AS_CalcoloPtot!AA29</f>
        <v>0</v>
      </c>
      <c r="Y13" s="565">
        <f>AS_CalcoloPtot!AB29</f>
        <v>0</v>
      </c>
      <c r="Z13" s="565">
        <f>AS_CalcoloPtot!AC29</f>
        <v>0</v>
      </c>
      <c r="AA13" s="565">
        <f>AS_CalcoloPtot!AD29</f>
        <v>0</v>
      </c>
    </row>
    <row r="14" spans="2:38" x14ac:dyDescent="0.25">
      <c r="B14" s="393" t="s">
        <v>129</v>
      </c>
      <c r="C14" s="842">
        <f t="shared" si="4"/>
        <v>0</v>
      </c>
      <c r="D14" s="394">
        <f t="shared" si="5"/>
        <v>0</v>
      </c>
      <c r="E14" s="834">
        <f t="shared" si="6"/>
        <v>0</v>
      </c>
      <c r="F14" s="395">
        <f>C14/$C$25</f>
        <v>0</v>
      </c>
      <c r="G14" s="492" t="str">
        <f>IF('Appalto Specifico BA'!E14="","",'Appalto Specifico BA'!E14)</f>
        <v>si</v>
      </c>
      <c r="H14" s="566">
        <f>AS_CalcoloPtot!K30</f>
        <v>0</v>
      </c>
      <c r="I14" s="566">
        <f>AS_CalcoloPtot!L30</f>
        <v>0</v>
      </c>
      <c r="J14" s="566">
        <f>AS_CalcoloPtot!M30</f>
        <v>0</v>
      </c>
      <c r="K14" s="566">
        <f>AS_CalcoloPtot!N30</f>
        <v>0</v>
      </c>
      <c r="L14" s="566">
        <f>AS_CalcoloPtot!O30</f>
        <v>0</v>
      </c>
      <c r="M14" s="566">
        <f>AS_CalcoloPtot!P30</f>
        <v>0</v>
      </c>
      <c r="N14" s="566">
        <f>AS_CalcoloPtot!Q30</f>
        <v>0</v>
      </c>
      <c r="O14" s="566">
        <f>AS_CalcoloPtot!R30</f>
        <v>0</v>
      </c>
      <c r="P14" s="566">
        <f>AS_CalcoloPtot!S30</f>
        <v>0</v>
      </c>
      <c r="Q14" s="566">
        <f>AS_CalcoloPtot!T30</f>
        <v>0</v>
      </c>
      <c r="R14" s="566">
        <f>AS_CalcoloPtot!U30</f>
        <v>0</v>
      </c>
      <c r="S14" s="566">
        <f>AS_CalcoloPtot!V30</f>
        <v>0</v>
      </c>
      <c r="T14" s="566">
        <f>AS_CalcoloPtot!W30</f>
        <v>0</v>
      </c>
      <c r="U14" s="566">
        <f>AS_CalcoloPtot!X30</f>
        <v>0</v>
      </c>
      <c r="V14" s="566">
        <f>AS_CalcoloPtot!Y30</f>
        <v>0</v>
      </c>
      <c r="W14" s="566">
        <f>AS_CalcoloPtot!Z30</f>
        <v>0</v>
      </c>
      <c r="X14" s="566">
        <f>AS_CalcoloPtot!AA30</f>
        <v>0</v>
      </c>
      <c r="Y14" s="566">
        <f>AS_CalcoloPtot!AB30</f>
        <v>0</v>
      </c>
      <c r="Z14" s="566">
        <f>AS_CalcoloPtot!AC30</f>
        <v>0</v>
      </c>
      <c r="AA14" s="566">
        <f>AS_CalcoloPtot!AD30</f>
        <v>0</v>
      </c>
    </row>
    <row r="15" spans="2:38" x14ac:dyDescent="0.25">
      <c r="B15" s="397" t="s">
        <v>126</v>
      </c>
      <c r="C15" s="843">
        <f t="shared" si="4"/>
        <v>227448</v>
      </c>
      <c r="D15" s="398">
        <f t="shared" si="5"/>
        <v>224036.28000000006</v>
      </c>
      <c r="E15" s="835">
        <f t="shared" si="6"/>
        <v>4667.4225000000015</v>
      </c>
      <c r="F15" s="399">
        <f>C15/$C$25</f>
        <v>5.4963892451191175E-2</v>
      </c>
      <c r="G15" s="400" t="str">
        <f>'Appalto Specifico BA'!E15</f>
        <v>si</v>
      </c>
      <c r="H15" s="567">
        <f>AS_CalcoloPtot!K31</f>
        <v>227448</v>
      </c>
      <c r="I15" s="567">
        <f>AS_CalcoloPtot!L31</f>
        <v>0</v>
      </c>
      <c r="J15" s="567">
        <f>AS_CalcoloPtot!M31</f>
        <v>0</v>
      </c>
      <c r="K15" s="567">
        <f>AS_CalcoloPtot!N31</f>
        <v>0</v>
      </c>
      <c r="L15" s="567">
        <f>AS_CalcoloPtot!O31</f>
        <v>0</v>
      </c>
      <c r="M15" s="567">
        <f>AS_CalcoloPtot!P31</f>
        <v>0</v>
      </c>
      <c r="N15" s="567">
        <f>AS_CalcoloPtot!Q31</f>
        <v>0</v>
      </c>
      <c r="O15" s="567">
        <f>AS_CalcoloPtot!R31</f>
        <v>0</v>
      </c>
      <c r="P15" s="567">
        <f>AS_CalcoloPtot!S31</f>
        <v>0</v>
      </c>
      <c r="Q15" s="567">
        <f>AS_CalcoloPtot!T31</f>
        <v>0</v>
      </c>
      <c r="R15" s="567">
        <f>AS_CalcoloPtot!U31</f>
        <v>0</v>
      </c>
      <c r="S15" s="567">
        <f>AS_CalcoloPtot!V31</f>
        <v>0</v>
      </c>
      <c r="T15" s="567">
        <f>AS_CalcoloPtot!W31</f>
        <v>0</v>
      </c>
      <c r="U15" s="567">
        <f>AS_CalcoloPtot!X31</f>
        <v>0</v>
      </c>
      <c r="V15" s="567">
        <f>AS_CalcoloPtot!Y31</f>
        <v>0</v>
      </c>
      <c r="W15" s="567">
        <f>AS_CalcoloPtot!Z31</f>
        <v>0</v>
      </c>
      <c r="X15" s="567">
        <f>AS_CalcoloPtot!AA31</f>
        <v>0</v>
      </c>
      <c r="Y15" s="567">
        <f>AS_CalcoloPtot!AB31</f>
        <v>0</v>
      </c>
      <c r="Z15" s="567">
        <f>AS_CalcoloPtot!AC31</f>
        <v>0</v>
      </c>
      <c r="AA15" s="567">
        <f>AS_CalcoloPtot!AD31</f>
        <v>0</v>
      </c>
    </row>
    <row r="16" spans="2:38" x14ac:dyDescent="0.25">
      <c r="B16" s="393" t="s">
        <v>183</v>
      </c>
      <c r="C16" s="842">
        <f t="shared" si="4"/>
        <v>5082.4000000000015</v>
      </c>
      <c r="D16" s="394">
        <f t="shared" si="5"/>
        <v>5006.1640000000025</v>
      </c>
      <c r="E16" s="834">
        <f t="shared" si="6"/>
        <v>104.29508333333338</v>
      </c>
      <c r="F16" s="395">
        <f>C16/$C$25</f>
        <v>1.2281861656023975E-3</v>
      </c>
      <c r="G16" s="396" t="str">
        <f>'Appalto Specifico BA'!E16</f>
        <v>si</v>
      </c>
      <c r="H16" s="566">
        <f>AS_CalcoloPtot!K32</f>
        <v>5082.4000000000015</v>
      </c>
      <c r="I16" s="566">
        <f>AS_CalcoloPtot!L32</f>
        <v>0</v>
      </c>
      <c r="J16" s="566">
        <f>AS_CalcoloPtot!M32</f>
        <v>0</v>
      </c>
      <c r="K16" s="566">
        <f>AS_CalcoloPtot!N32</f>
        <v>0</v>
      </c>
      <c r="L16" s="566">
        <f>AS_CalcoloPtot!O32</f>
        <v>0</v>
      </c>
      <c r="M16" s="566">
        <f>AS_CalcoloPtot!P32</f>
        <v>0</v>
      </c>
      <c r="N16" s="566">
        <f>AS_CalcoloPtot!Q32</f>
        <v>0</v>
      </c>
      <c r="O16" s="566">
        <f>AS_CalcoloPtot!R32</f>
        <v>0</v>
      </c>
      <c r="P16" s="566">
        <f>AS_CalcoloPtot!S32</f>
        <v>0</v>
      </c>
      <c r="Q16" s="566">
        <f>AS_CalcoloPtot!T32</f>
        <v>0</v>
      </c>
      <c r="R16" s="566">
        <f>AS_CalcoloPtot!U32</f>
        <v>0</v>
      </c>
      <c r="S16" s="566">
        <f>AS_CalcoloPtot!V32</f>
        <v>0</v>
      </c>
      <c r="T16" s="566">
        <f>AS_CalcoloPtot!W32</f>
        <v>0</v>
      </c>
      <c r="U16" s="566">
        <f>AS_CalcoloPtot!X32</f>
        <v>0</v>
      </c>
      <c r="V16" s="566">
        <f>AS_CalcoloPtot!Y32</f>
        <v>0</v>
      </c>
      <c r="W16" s="566">
        <f>AS_CalcoloPtot!Z32</f>
        <v>0</v>
      </c>
      <c r="X16" s="566">
        <f>AS_CalcoloPtot!AA32</f>
        <v>0</v>
      </c>
      <c r="Y16" s="566">
        <f>AS_CalcoloPtot!AB32</f>
        <v>0</v>
      </c>
      <c r="Z16" s="566">
        <f>AS_CalcoloPtot!AC32</f>
        <v>0</v>
      </c>
      <c r="AA16" s="566">
        <f>AS_CalcoloPtot!AD32</f>
        <v>0</v>
      </c>
    </row>
    <row r="17" spans="2:27" ht="15.75" thickBot="1" x14ac:dyDescent="0.3">
      <c r="B17" s="401" t="s">
        <v>184</v>
      </c>
      <c r="C17" s="844">
        <f t="shared" si="4"/>
        <v>23383.256666666664</v>
      </c>
      <c r="D17" s="402">
        <f t="shared" si="5"/>
        <v>23032.507816666668</v>
      </c>
      <c r="E17" s="836">
        <f t="shared" si="6"/>
        <v>479.84391284722227</v>
      </c>
      <c r="F17" s="403">
        <f>C17/$C$25</f>
        <v>5.6506753393534594E-3</v>
      </c>
      <c r="G17" s="404" t="str">
        <f>'Appalto Specifico BA'!E17</f>
        <v>si</v>
      </c>
      <c r="H17" s="568">
        <f>AS_CalcoloPtot!K33</f>
        <v>23383.256666666664</v>
      </c>
      <c r="I17" s="568">
        <f>AS_CalcoloPtot!L33</f>
        <v>0</v>
      </c>
      <c r="J17" s="568">
        <f>AS_CalcoloPtot!M33</f>
        <v>0</v>
      </c>
      <c r="K17" s="568">
        <f>AS_CalcoloPtot!N33</f>
        <v>0</v>
      </c>
      <c r="L17" s="568">
        <f>AS_CalcoloPtot!O33</f>
        <v>0</v>
      </c>
      <c r="M17" s="568">
        <f>AS_CalcoloPtot!P33</f>
        <v>0</v>
      </c>
      <c r="N17" s="568">
        <f>AS_CalcoloPtot!Q33</f>
        <v>0</v>
      </c>
      <c r="O17" s="568">
        <f>AS_CalcoloPtot!R33</f>
        <v>0</v>
      </c>
      <c r="P17" s="568">
        <f>AS_CalcoloPtot!S33</f>
        <v>0</v>
      </c>
      <c r="Q17" s="568">
        <f>AS_CalcoloPtot!T33</f>
        <v>0</v>
      </c>
      <c r="R17" s="568">
        <f>AS_CalcoloPtot!U33</f>
        <v>0</v>
      </c>
      <c r="S17" s="568">
        <f>AS_CalcoloPtot!V33</f>
        <v>0</v>
      </c>
      <c r="T17" s="568">
        <f>AS_CalcoloPtot!W33</f>
        <v>0</v>
      </c>
      <c r="U17" s="568">
        <f>AS_CalcoloPtot!X33</f>
        <v>0</v>
      </c>
      <c r="V17" s="568">
        <f>AS_CalcoloPtot!Y33</f>
        <v>0</v>
      </c>
      <c r="W17" s="568">
        <f>AS_CalcoloPtot!Z33</f>
        <v>0</v>
      </c>
      <c r="X17" s="568">
        <f>AS_CalcoloPtot!AA33</f>
        <v>0</v>
      </c>
      <c r="Y17" s="568">
        <f>AS_CalcoloPtot!AB33</f>
        <v>0</v>
      </c>
      <c r="Z17" s="568">
        <f>AS_CalcoloPtot!AC33</f>
        <v>0</v>
      </c>
      <c r="AA17" s="568">
        <f>AS_CalcoloPtot!AD33</f>
        <v>0</v>
      </c>
    </row>
    <row r="18" spans="2:27" ht="16.5" thickBot="1" x14ac:dyDescent="0.3">
      <c r="B18" s="385" t="s">
        <v>127</v>
      </c>
      <c r="C18" s="846">
        <f>IFERROR(SUM(C19:C22),"")</f>
        <v>1158727.9006666667</v>
      </c>
      <c r="D18" s="376"/>
      <c r="E18" s="838"/>
      <c r="F18" s="380">
        <f t="shared" ref="F18" si="7">C18/$C$25</f>
        <v>0.28001211579102564</v>
      </c>
      <c r="G18" s="381"/>
      <c r="H18" s="570"/>
      <c r="I18" s="570"/>
      <c r="J18" s="570"/>
      <c r="K18" s="570"/>
      <c r="L18" s="570"/>
      <c r="M18" s="570"/>
      <c r="N18" s="570"/>
      <c r="O18" s="570"/>
      <c r="P18" s="570"/>
      <c r="Q18" s="570"/>
      <c r="R18" s="570"/>
      <c r="S18" s="570"/>
      <c r="T18" s="570"/>
      <c r="U18" s="570"/>
      <c r="V18" s="570"/>
      <c r="W18" s="570"/>
      <c r="X18" s="570"/>
      <c r="Y18" s="570"/>
      <c r="Z18" s="570"/>
      <c r="AA18" s="570"/>
    </row>
    <row r="19" spans="2:27" x14ac:dyDescent="0.25">
      <c r="B19" s="389" t="s">
        <v>6</v>
      </c>
      <c r="C19" s="841">
        <f t="shared" ref="C19:C22" si="8">SUM(H19:AA19)</f>
        <v>0</v>
      </c>
      <c r="D19" s="390">
        <f t="shared" ref="D19:D22" si="9">($C$25/$C$23)*C19</f>
        <v>0</v>
      </c>
      <c r="E19" s="833">
        <f t="shared" ref="E19:E22" si="10">IFERROR(D19/48,"")</f>
        <v>0</v>
      </c>
      <c r="F19" s="391">
        <f>C19/$C$25</f>
        <v>0</v>
      </c>
      <c r="G19" s="392" t="str">
        <f>'Appalto Specifico BA'!E19</f>
        <v>no</v>
      </c>
      <c r="H19" s="565">
        <f>AS_CalcoloPtot!K35</f>
        <v>0</v>
      </c>
      <c r="I19" s="565">
        <f>AS_CalcoloPtot!L35</f>
        <v>0</v>
      </c>
      <c r="J19" s="565">
        <f>AS_CalcoloPtot!M35</f>
        <v>0</v>
      </c>
      <c r="K19" s="565">
        <f>AS_CalcoloPtot!N35</f>
        <v>0</v>
      </c>
      <c r="L19" s="565">
        <f>AS_CalcoloPtot!O35</f>
        <v>0</v>
      </c>
      <c r="M19" s="565">
        <f>AS_CalcoloPtot!P35</f>
        <v>0</v>
      </c>
      <c r="N19" s="565">
        <f>AS_CalcoloPtot!Q35</f>
        <v>0</v>
      </c>
      <c r="O19" s="565">
        <f>AS_CalcoloPtot!R35</f>
        <v>0</v>
      </c>
      <c r="P19" s="565">
        <f>AS_CalcoloPtot!S35</f>
        <v>0</v>
      </c>
      <c r="Q19" s="565">
        <f>AS_CalcoloPtot!T35</f>
        <v>0</v>
      </c>
      <c r="R19" s="565">
        <f>AS_CalcoloPtot!U35</f>
        <v>0</v>
      </c>
      <c r="S19" s="565">
        <f>AS_CalcoloPtot!V35</f>
        <v>0</v>
      </c>
      <c r="T19" s="565">
        <f>AS_CalcoloPtot!W35</f>
        <v>0</v>
      </c>
      <c r="U19" s="565">
        <f>AS_CalcoloPtot!X35</f>
        <v>0</v>
      </c>
      <c r="V19" s="565">
        <f>AS_CalcoloPtot!Y35</f>
        <v>0</v>
      </c>
      <c r="W19" s="565">
        <f>AS_CalcoloPtot!Z35</f>
        <v>0</v>
      </c>
      <c r="X19" s="565">
        <f>AS_CalcoloPtot!AA35</f>
        <v>0</v>
      </c>
      <c r="Y19" s="565">
        <f>AS_CalcoloPtot!AB35</f>
        <v>0</v>
      </c>
      <c r="Z19" s="565">
        <f>AS_CalcoloPtot!AC35</f>
        <v>0</v>
      </c>
      <c r="AA19" s="565">
        <f>AS_CalcoloPtot!AD35</f>
        <v>0</v>
      </c>
    </row>
    <row r="20" spans="2:27" x14ac:dyDescent="0.25">
      <c r="B20" s="393" t="s">
        <v>1</v>
      </c>
      <c r="C20" s="842">
        <f t="shared" si="8"/>
        <v>1060471.824</v>
      </c>
      <c r="D20" s="394">
        <f t="shared" si="9"/>
        <v>1044564.7466400003</v>
      </c>
      <c r="E20" s="834">
        <f t="shared" si="10"/>
        <v>21761.765555000005</v>
      </c>
      <c r="F20" s="395">
        <f>C20/$C$25</f>
        <v>0.2562680669069613</v>
      </c>
      <c r="G20" s="490" t="str">
        <f>IF('Appalto Specifico BA'!E20="","",'Appalto Specifico BA'!E20)</f>
        <v>si</v>
      </c>
      <c r="H20" s="566">
        <f>AS_CalcoloPtot!K36</f>
        <v>1060471.824</v>
      </c>
      <c r="I20" s="566">
        <f>AS_CalcoloPtot!L36</f>
        <v>0</v>
      </c>
      <c r="J20" s="566">
        <f>AS_CalcoloPtot!M36</f>
        <v>0</v>
      </c>
      <c r="K20" s="566">
        <f>AS_CalcoloPtot!N36</f>
        <v>0</v>
      </c>
      <c r="L20" s="566">
        <f>AS_CalcoloPtot!O36</f>
        <v>0</v>
      </c>
      <c r="M20" s="566">
        <f>AS_CalcoloPtot!P36</f>
        <v>0</v>
      </c>
      <c r="N20" s="566">
        <f>AS_CalcoloPtot!Q36</f>
        <v>0</v>
      </c>
      <c r="O20" s="566">
        <f>AS_CalcoloPtot!R36</f>
        <v>0</v>
      </c>
      <c r="P20" s="566">
        <f>AS_CalcoloPtot!S36</f>
        <v>0</v>
      </c>
      <c r="Q20" s="566">
        <f>AS_CalcoloPtot!T36</f>
        <v>0</v>
      </c>
      <c r="R20" s="566">
        <f>AS_CalcoloPtot!U36</f>
        <v>0</v>
      </c>
      <c r="S20" s="566">
        <f>AS_CalcoloPtot!V36</f>
        <v>0</v>
      </c>
      <c r="T20" s="566">
        <f>AS_CalcoloPtot!W36</f>
        <v>0</v>
      </c>
      <c r="U20" s="566">
        <f>AS_CalcoloPtot!X36</f>
        <v>0</v>
      </c>
      <c r="V20" s="566">
        <f>AS_CalcoloPtot!Y36</f>
        <v>0</v>
      </c>
      <c r="W20" s="566">
        <f>AS_CalcoloPtot!Z36</f>
        <v>0</v>
      </c>
      <c r="X20" s="566">
        <f>AS_CalcoloPtot!AA36</f>
        <v>0</v>
      </c>
      <c r="Y20" s="566">
        <f>AS_CalcoloPtot!AB36</f>
        <v>0</v>
      </c>
      <c r="Z20" s="566">
        <f>AS_CalcoloPtot!AC36</f>
        <v>0</v>
      </c>
      <c r="AA20" s="566">
        <f>AS_CalcoloPtot!AD36</f>
        <v>0</v>
      </c>
    </row>
    <row r="21" spans="2:27" x14ac:dyDescent="0.25">
      <c r="B21" s="397" t="s">
        <v>0</v>
      </c>
      <c r="C21" s="843">
        <f t="shared" si="8"/>
        <v>0</v>
      </c>
      <c r="D21" s="398">
        <f t="shared" si="9"/>
        <v>0</v>
      </c>
      <c r="E21" s="835">
        <f t="shared" si="10"/>
        <v>0</v>
      </c>
      <c r="F21" s="405">
        <f>C21/$C$25</f>
        <v>0</v>
      </c>
      <c r="G21" s="491" t="str">
        <f>IF('Appalto Specifico BA'!E21="","",'Appalto Specifico BA'!E21)</f>
        <v>no</v>
      </c>
      <c r="H21" s="567">
        <f>AS_CalcoloPtot!K37</f>
        <v>0</v>
      </c>
      <c r="I21" s="567">
        <f>AS_CalcoloPtot!L37</f>
        <v>0</v>
      </c>
      <c r="J21" s="567">
        <f>AS_CalcoloPtot!M37</f>
        <v>0</v>
      </c>
      <c r="K21" s="567">
        <f>AS_CalcoloPtot!N37</f>
        <v>0</v>
      </c>
      <c r="L21" s="567">
        <f>AS_CalcoloPtot!O37</f>
        <v>0</v>
      </c>
      <c r="M21" s="567">
        <f>AS_CalcoloPtot!P37</f>
        <v>0</v>
      </c>
      <c r="N21" s="567">
        <f>AS_CalcoloPtot!Q37</f>
        <v>0</v>
      </c>
      <c r="O21" s="567">
        <f>AS_CalcoloPtot!R37</f>
        <v>0</v>
      </c>
      <c r="P21" s="567">
        <f>AS_CalcoloPtot!S37</f>
        <v>0</v>
      </c>
      <c r="Q21" s="567">
        <f>AS_CalcoloPtot!T37</f>
        <v>0</v>
      </c>
      <c r="R21" s="567">
        <f>AS_CalcoloPtot!U37</f>
        <v>0</v>
      </c>
      <c r="S21" s="567">
        <f>AS_CalcoloPtot!V37</f>
        <v>0</v>
      </c>
      <c r="T21" s="567">
        <f>AS_CalcoloPtot!W37</f>
        <v>0</v>
      </c>
      <c r="U21" s="567">
        <f>AS_CalcoloPtot!X37</f>
        <v>0</v>
      </c>
      <c r="V21" s="567">
        <f>AS_CalcoloPtot!Y37</f>
        <v>0</v>
      </c>
      <c r="W21" s="567">
        <f>AS_CalcoloPtot!Z37</f>
        <v>0</v>
      </c>
      <c r="X21" s="567">
        <f>AS_CalcoloPtot!AA37</f>
        <v>0</v>
      </c>
      <c r="Y21" s="567">
        <f>AS_CalcoloPtot!AB37</f>
        <v>0</v>
      </c>
      <c r="Z21" s="567">
        <f>AS_CalcoloPtot!AC37</f>
        <v>0</v>
      </c>
      <c r="AA21" s="567">
        <f>AS_CalcoloPtot!AD37</f>
        <v>0</v>
      </c>
    </row>
    <row r="22" spans="2:27" ht="15.75" thickBot="1" x14ac:dyDescent="0.3">
      <c r="B22" s="406" t="s">
        <v>121</v>
      </c>
      <c r="C22" s="847">
        <f t="shared" si="8"/>
        <v>98256.07666666666</v>
      </c>
      <c r="D22" s="407">
        <f t="shared" si="9"/>
        <v>96782.235516666682</v>
      </c>
      <c r="E22" s="839">
        <f t="shared" si="10"/>
        <v>2016.2965732638893</v>
      </c>
      <c r="F22" s="408">
        <f>C22/$C$25</f>
        <v>2.3744048884064319E-2</v>
      </c>
      <c r="G22" s="409" t="str">
        <f>'Appalto Specifico BA'!E22</f>
        <v>si</v>
      </c>
      <c r="H22" s="571">
        <f>AS_CalcoloPtot!K38</f>
        <v>98256.07666666666</v>
      </c>
      <c r="I22" s="571">
        <f>AS_CalcoloPtot!L38</f>
        <v>0</v>
      </c>
      <c r="J22" s="571">
        <f>AS_CalcoloPtot!M38</f>
        <v>0</v>
      </c>
      <c r="K22" s="571">
        <f>AS_CalcoloPtot!N38</f>
        <v>0</v>
      </c>
      <c r="L22" s="571">
        <f>AS_CalcoloPtot!O38</f>
        <v>0</v>
      </c>
      <c r="M22" s="571">
        <f>AS_CalcoloPtot!P38</f>
        <v>0</v>
      </c>
      <c r="N22" s="571">
        <f>AS_CalcoloPtot!Q38</f>
        <v>0</v>
      </c>
      <c r="O22" s="571">
        <f>AS_CalcoloPtot!R38</f>
        <v>0</v>
      </c>
      <c r="P22" s="571">
        <f>AS_CalcoloPtot!S38</f>
        <v>0</v>
      </c>
      <c r="Q22" s="571">
        <f>AS_CalcoloPtot!T38</f>
        <v>0</v>
      </c>
      <c r="R22" s="571">
        <f>AS_CalcoloPtot!U38</f>
        <v>0</v>
      </c>
      <c r="S22" s="571">
        <f>AS_CalcoloPtot!V38</f>
        <v>0</v>
      </c>
      <c r="T22" s="571">
        <f>AS_CalcoloPtot!W38</f>
        <v>0</v>
      </c>
      <c r="U22" s="571">
        <f>AS_CalcoloPtot!X38</f>
        <v>0</v>
      </c>
      <c r="V22" s="571">
        <f>AS_CalcoloPtot!Y38</f>
        <v>0</v>
      </c>
      <c r="W22" s="571">
        <f>AS_CalcoloPtot!Z38</f>
        <v>0</v>
      </c>
      <c r="X22" s="571">
        <f>AS_CalcoloPtot!AA38</f>
        <v>0</v>
      </c>
      <c r="Y22" s="571">
        <f>AS_CalcoloPtot!AB38</f>
        <v>0</v>
      </c>
      <c r="Z22" s="571">
        <f>AS_CalcoloPtot!AC38</f>
        <v>0</v>
      </c>
      <c r="AA22" s="571">
        <f>AS_CalcoloPtot!AD38</f>
        <v>0</v>
      </c>
    </row>
    <row r="23" spans="2:27" s="564" customFormat="1" ht="13.5" thickBot="1" x14ac:dyDescent="0.25">
      <c r="B23" s="561" t="s">
        <v>133</v>
      </c>
      <c r="C23" s="562">
        <f>SUM(C4,C12,C18)</f>
        <v>4201152.1533333324</v>
      </c>
      <c r="H23" s="563">
        <f>AS_CalcoloPtot!K39</f>
        <v>4201152.1533333333</v>
      </c>
      <c r="I23" s="563">
        <f>AS_CalcoloPtot!L39</f>
        <v>0</v>
      </c>
      <c r="J23" s="563">
        <f>AS_CalcoloPtot!M39</f>
        <v>0</v>
      </c>
      <c r="K23" s="563">
        <f>AS_CalcoloPtot!N39</f>
        <v>0</v>
      </c>
      <c r="L23" s="563">
        <f>AS_CalcoloPtot!O39</f>
        <v>0</v>
      </c>
      <c r="M23" s="563">
        <f>AS_CalcoloPtot!P39</f>
        <v>0</v>
      </c>
      <c r="N23" s="563">
        <f>AS_CalcoloPtot!Q39</f>
        <v>0</v>
      </c>
      <c r="O23" s="563">
        <f>AS_CalcoloPtot!R39</f>
        <v>0</v>
      </c>
      <c r="P23" s="563">
        <f>AS_CalcoloPtot!S39</f>
        <v>0</v>
      </c>
      <c r="Q23" s="563">
        <f>AS_CalcoloPtot!T39</f>
        <v>0</v>
      </c>
      <c r="R23" s="563">
        <f>AS_CalcoloPtot!U39</f>
        <v>0</v>
      </c>
      <c r="S23" s="563">
        <f>AS_CalcoloPtot!V39</f>
        <v>0</v>
      </c>
      <c r="T23" s="563">
        <f>AS_CalcoloPtot!W39</f>
        <v>0</v>
      </c>
      <c r="U23" s="563">
        <f>AS_CalcoloPtot!X39</f>
        <v>0</v>
      </c>
      <c r="V23" s="563">
        <f>AS_CalcoloPtot!Y39</f>
        <v>0</v>
      </c>
      <c r="W23" s="563">
        <f>AS_CalcoloPtot!Z39</f>
        <v>0</v>
      </c>
      <c r="X23" s="563">
        <f>AS_CalcoloPtot!AA39</f>
        <v>0</v>
      </c>
      <c r="Y23" s="563">
        <f>AS_CalcoloPtot!AB39</f>
        <v>0</v>
      </c>
      <c r="Z23" s="563">
        <f>AS_CalcoloPtot!AC39</f>
        <v>0</v>
      </c>
      <c r="AA23" s="563">
        <f>AS_CalcoloPtot!AD39</f>
        <v>0</v>
      </c>
    </row>
    <row r="24" spans="2:27" ht="4.5" customHeight="1" thickBot="1" x14ac:dyDescent="0.3">
      <c r="B24" s="377"/>
      <c r="C24" s="377"/>
      <c r="D24" s="377"/>
      <c r="F24" s="377"/>
    </row>
    <row r="25" spans="2:27" s="377" customFormat="1" ht="16.5" thickBot="1" x14ac:dyDescent="0.3">
      <c r="B25" s="386" t="s">
        <v>1271</v>
      </c>
      <c r="C25" s="949">
        <f>SUM(H25:AA25)</f>
        <v>4138134.8710333332</v>
      </c>
      <c r="D25" s="950"/>
      <c r="E25" s="522"/>
      <c r="H25" s="572">
        <f>AS_CalcoloPtot!K41</f>
        <v>4138134.8710333332</v>
      </c>
      <c r="I25" s="572">
        <f>AS_CalcoloPtot!L41</f>
        <v>0</v>
      </c>
      <c r="J25" s="572">
        <f>AS_CalcoloPtot!M41</f>
        <v>0</v>
      </c>
      <c r="K25" s="572">
        <f>AS_CalcoloPtot!N41</f>
        <v>0</v>
      </c>
      <c r="L25" s="572">
        <f>AS_CalcoloPtot!O41</f>
        <v>0</v>
      </c>
      <c r="M25" s="572">
        <f>AS_CalcoloPtot!P41</f>
        <v>0</v>
      </c>
      <c r="N25" s="572">
        <f>AS_CalcoloPtot!Q41</f>
        <v>0</v>
      </c>
      <c r="O25" s="572">
        <f>AS_CalcoloPtot!R41</f>
        <v>0</v>
      </c>
      <c r="P25" s="572">
        <f>AS_CalcoloPtot!S41</f>
        <v>0</v>
      </c>
      <c r="Q25" s="572">
        <f>AS_CalcoloPtot!T41</f>
        <v>0</v>
      </c>
      <c r="R25" s="572">
        <f>AS_CalcoloPtot!U41</f>
        <v>0</v>
      </c>
      <c r="S25" s="572">
        <f>AS_CalcoloPtot!V41</f>
        <v>0</v>
      </c>
      <c r="T25" s="572">
        <f>AS_CalcoloPtot!W41</f>
        <v>0</v>
      </c>
      <c r="U25" s="572">
        <f>AS_CalcoloPtot!X41</f>
        <v>0</v>
      </c>
      <c r="V25" s="572">
        <f>AS_CalcoloPtot!Y41</f>
        <v>0</v>
      </c>
      <c r="W25" s="572">
        <f>AS_CalcoloPtot!Z41</f>
        <v>0</v>
      </c>
      <c r="X25" s="572">
        <f>AS_CalcoloPtot!AA41</f>
        <v>0</v>
      </c>
      <c r="Y25" s="572">
        <f>AS_CalcoloPtot!AB41</f>
        <v>0</v>
      </c>
      <c r="Z25" s="572">
        <f>AS_CalcoloPtot!AC41</f>
        <v>0</v>
      </c>
      <c r="AA25" s="572">
        <f>AS_CalcoloPtot!AD41</f>
        <v>0</v>
      </c>
    </row>
    <row r="26" spans="2:27" ht="29.45" customHeight="1" thickBot="1" x14ac:dyDescent="0.3">
      <c r="B26" s="410" t="s">
        <v>1305</v>
      </c>
      <c r="C26" s="520">
        <f>G26*C25</f>
        <v>1105244.3396829485</v>
      </c>
      <c r="D26" s="522"/>
      <c r="F26" s="377"/>
      <c r="G26" s="450">
        <f>'Appalto Specifico BA'!E24</f>
        <v>0.26708755855677513</v>
      </c>
    </row>
    <row r="27" spans="2:27" ht="16.5" thickBot="1" x14ac:dyDescent="0.3">
      <c r="B27" s="387" t="s">
        <v>134</v>
      </c>
      <c r="C27" s="388">
        <f>IF(C26&gt;(0.3*C25),"Non corretto",C26)</f>
        <v>1105244.3396829485</v>
      </c>
      <c r="D27" s="522"/>
      <c r="F27" s="377"/>
      <c r="G27" s="377"/>
    </row>
    <row r="28" spans="2:27" ht="4.5" customHeight="1" thickBot="1" x14ac:dyDescent="0.3">
      <c r="B28" s="377"/>
      <c r="C28" s="377"/>
      <c r="D28" s="522"/>
      <c r="F28" s="377"/>
    </row>
    <row r="29" spans="2:27" s="40" customFormat="1" ht="19.5" thickBot="1" x14ac:dyDescent="0.35">
      <c r="B29" s="526" t="s">
        <v>135</v>
      </c>
      <c r="C29" s="527">
        <f>IF(C27="Non corretto","NC",SUM(C25,C27))</f>
        <v>5243379.210716282</v>
      </c>
      <c r="D29" s="528"/>
      <c r="E29" s="528"/>
    </row>
    <row r="30" spans="2:27" ht="3" customHeight="1" x14ac:dyDescent="0.25">
      <c r="C30" s="25"/>
      <c r="D30" s="521"/>
      <c r="E30" s="521"/>
    </row>
    <row r="31" spans="2:27" x14ac:dyDescent="0.25">
      <c r="B31" s="524" t="s">
        <v>1263</v>
      </c>
      <c r="C31" s="525">
        <f>('Appalto Specifico BA'!C27-SUM(C23,C27))/'Appalto Specifico BA'!C27</f>
        <v>0.3466304132465447</v>
      </c>
      <c r="D31" s="522"/>
    </row>
    <row r="32" spans="2:27" x14ac:dyDescent="0.25">
      <c r="C32" s="25"/>
      <c r="D32" s="25"/>
      <c r="E32" s="521"/>
    </row>
  </sheetData>
  <sheetProtection algorithmName="SHA-512" hashValue="8JrqK0Rref/WEiPGJhpYIuv/f2dkfH8IkZYF97ZaFqx0NzpR5edBVFiB/WzLx7JcsPPW0AG9K0UZ1tTojAtfSw==" saltValue="iJiuhGJG51GWIfecxoEksA==" spinCount="100000" sheet="1" objects="1" scenarios="1"/>
  <dataConsolidate/>
  <mergeCells count="1">
    <mergeCell ref="C25:D25"/>
  </mergeCells>
  <dataValidations count="1">
    <dataValidation type="list" allowBlank="1" showInputMessage="1" showErrorMessage="1" sqref="G20:G21 G11" xr:uid="{00000000-0002-0000-0A00-000000000000}">
      <formula1>$AL$2:$AL$3</formula1>
    </dataValidation>
  </dataValidations>
  <pageMargins left="0.70866141732283472" right="0.70866141732283472" top="0.74803149606299213" bottom="0.74803149606299213" header="0.31496062992125984" footer="0.31496062992125984"/>
  <pageSetup paperSize="9" scale="70" orientation="landscape" horizontalDpi="4294967295" verticalDpi="4294967295" r:id="rId1"/>
  <colBreaks count="1" manualBreakCount="1">
    <brk id="8"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3">
    <tabColor theme="0" tint="-4.9989318521683403E-2"/>
  </sheetPr>
  <dimension ref="B2:AL29"/>
  <sheetViews>
    <sheetView topLeftCell="A6" zoomScale="120" zoomScaleNormal="120" workbookViewId="0">
      <selection activeCell="C25" sqref="C25"/>
    </sheetView>
  </sheetViews>
  <sheetFormatPr defaultColWidth="8.7109375" defaultRowHeight="15" x14ac:dyDescent="0.25"/>
  <cols>
    <col min="1" max="1" width="1.85546875" style="644" customWidth="1"/>
    <col min="2" max="2" width="53.42578125" style="644" customWidth="1"/>
    <col min="3" max="3" width="19.42578125" style="685" bestFit="1" customWidth="1"/>
    <col min="4" max="4" width="9.7109375" style="644" customWidth="1"/>
    <col min="5" max="5" width="10.140625" style="644" customWidth="1"/>
    <col min="6" max="6" width="1.140625" style="644" customWidth="1"/>
    <col min="7" max="7" width="47.5703125" style="644" customWidth="1"/>
    <col min="8" max="37" width="8.7109375" style="644"/>
    <col min="38" max="38" width="8.7109375" style="644" customWidth="1"/>
    <col min="39" max="16384" width="8.7109375" style="644"/>
  </cols>
  <sheetData>
    <row r="2" spans="2:38" ht="15.75" thickBot="1" x14ac:dyDescent="0.3">
      <c r="C2" s="644"/>
      <c r="AL2" s="644" t="s">
        <v>162</v>
      </c>
    </row>
    <row r="3" spans="2:38" ht="16.5" thickBot="1" x14ac:dyDescent="0.3">
      <c r="B3" s="378" t="s">
        <v>1216</v>
      </c>
      <c r="C3" s="379" t="s">
        <v>1157</v>
      </c>
      <c r="D3" s="379" t="s">
        <v>137</v>
      </c>
      <c r="E3" s="379" t="s">
        <v>146</v>
      </c>
      <c r="G3" s="951" t="s">
        <v>1165</v>
      </c>
      <c r="AL3" s="644" t="s">
        <v>163</v>
      </c>
    </row>
    <row r="4" spans="2:38" ht="16.5" thickBot="1" x14ac:dyDescent="0.3">
      <c r="B4" s="382" t="s">
        <v>123</v>
      </c>
      <c r="C4" s="383">
        <f t="shared" ref="C4" si="0">SUM(C5:C11)</f>
        <v>2369263.2599999998</v>
      </c>
      <c r="D4" s="702">
        <f t="shared" ref="D4:D12" si="1">C4/$C$23</f>
        <v>0.36964017247249276</v>
      </c>
      <c r="E4" s="709"/>
      <c r="G4" s="952"/>
    </row>
    <row r="5" spans="2:38" ht="15" customHeight="1" x14ac:dyDescent="0.25">
      <c r="B5" s="686" t="s">
        <v>2</v>
      </c>
      <c r="C5" s="687">
        <f>SUM('Riepilogo Immobili - BA'!E7:X7)</f>
        <v>382526.89600000001</v>
      </c>
      <c r="D5" s="703">
        <f t="shared" si="1"/>
        <v>5.9679863441096583E-2</v>
      </c>
      <c r="E5" s="710" t="str">
        <f t="shared" ref="E5:E10" si="2">IF(AND($E$24&gt;0,C5&gt;0),"si","no")</f>
        <v>si</v>
      </c>
      <c r="G5" s="956" t="str">
        <f>IF(COUNTIF('Riepilogo Immobili - BA'!$E$28:$X$28,"NO")=0,"Ok","ATTENZIONE! Non è rispettato il requisito del Set Minimo di servizi (cfr. paragrafo 5.4 del Capitolato Tecnico")</f>
        <v>Ok</v>
      </c>
    </row>
    <row r="6" spans="2:38" x14ac:dyDescent="0.25">
      <c r="B6" s="688" t="s">
        <v>122</v>
      </c>
      <c r="C6" s="689">
        <f>SUM('Riepilogo Immobili - BA'!E8:X8)</f>
        <v>106618.07199999999</v>
      </c>
      <c r="D6" s="704">
        <f t="shared" si="1"/>
        <v>1.6633998926216687E-2</v>
      </c>
      <c r="E6" s="711" t="str">
        <f t="shared" si="2"/>
        <v>si</v>
      </c>
      <c r="G6" s="954"/>
    </row>
    <row r="7" spans="2:38" x14ac:dyDescent="0.25">
      <c r="B7" s="690" t="s">
        <v>474</v>
      </c>
      <c r="C7" s="691">
        <f>SUM('Riepilogo Immobili - BA'!E9:X9)</f>
        <v>729199.2919999999</v>
      </c>
      <c r="D7" s="705">
        <f t="shared" si="1"/>
        <v>0.11376589364817973</v>
      </c>
      <c r="E7" s="712" t="str">
        <f t="shared" si="2"/>
        <v>si</v>
      </c>
      <c r="G7" s="954"/>
    </row>
    <row r="8" spans="2:38" x14ac:dyDescent="0.25">
      <c r="B8" s="688" t="s">
        <v>4</v>
      </c>
      <c r="C8" s="689">
        <f>SUM('Riepilogo Immobili - BA'!E10:X10)</f>
        <v>92181.560000000012</v>
      </c>
      <c r="D8" s="704">
        <f t="shared" si="1"/>
        <v>1.438168915732203E-2</v>
      </c>
      <c r="E8" s="711" t="str">
        <f t="shared" si="2"/>
        <v>si</v>
      </c>
      <c r="G8" s="954"/>
    </row>
    <row r="9" spans="2:38" ht="15.75" thickBot="1" x14ac:dyDescent="0.3">
      <c r="B9" s="690" t="s">
        <v>3</v>
      </c>
      <c r="C9" s="691">
        <f>SUM('Riepilogo Immobili - BA'!E11:X11)</f>
        <v>0</v>
      </c>
      <c r="D9" s="705">
        <f t="shared" si="1"/>
        <v>0</v>
      </c>
      <c r="E9" s="712" t="str">
        <f t="shared" si="2"/>
        <v>no</v>
      </c>
      <c r="G9" s="957"/>
    </row>
    <row r="10" spans="2:38" ht="15.75" thickBot="1" x14ac:dyDescent="0.3">
      <c r="B10" s="688" t="s">
        <v>124</v>
      </c>
      <c r="C10" s="689">
        <f>SUM('Riepilogo Immobili - BA'!E12:X12)</f>
        <v>0</v>
      </c>
      <c r="D10" s="704">
        <f t="shared" si="1"/>
        <v>0</v>
      </c>
      <c r="E10" s="711" t="str">
        <f t="shared" si="2"/>
        <v>no</v>
      </c>
      <c r="G10" s="716" t="s">
        <v>1251</v>
      </c>
    </row>
    <row r="11" spans="2:38" ht="15.75" thickBot="1" x14ac:dyDescent="0.3">
      <c r="B11" s="692" t="s">
        <v>140</v>
      </c>
      <c r="C11" s="693">
        <f>SUM('Riepilogo Immobili - BA'!E13:X13)</f>
        <v>1058737.44</v>
      </c>
      <c r="D11" s="706">
        <f t="shared" si="1"/>
        <v>0.16517872729967772</v>
      </c>
      <c r="E11" s="678" t="s">
        <v>162</v>
      </c>
      <c r="G11" s="717" t="str">
        <f>IF(AND($E$24=0,E11="si"),"ATTENZIONE! Non è possibile prevedere il servizio in extra-canone","Ok")</f>
        <v>Ok</v>
      </c>
    </row>
    <row r="12" spans="2:38" ht="16.5" thickBot="1" x14ac:dyDescent="0.3">
      <c r="B12" s="384" t="s">
        <v>125</v>
      </c>
      <c r="C12" s="375">
        <f>SUM(C13:C17)</f>
        <v>2744107.2306666672</v>
      </c>
      <c r="D12" s="702">
        <f t="shared" si="1"/>
        <v>0.42812138572842318</v>
      </c>
      <c r="E12" s="709"/>
      <c r="G12" s="718"/>
    </row>
    <row r="13" spans="2:38" x14ac:dyDescent="0.25">
      <c r="B13" s="686" t="s">
        <v>5</v>
      </c>
      <c r="C13" s="687">
        <f>SUM('Riepilogo Immobili - BA'!E15:X15)</f>
        <v>2385497.6640000003</v>
      </c>
      <c r="D13" s="703">
        <f>C13/$C$23</f>
        <v>0.3721729800316444</v>
      </c>
      <c r="E13" s="710" t="str">
        <f>IF(AND($E$24&gt;0,C13&gt;0),"si","no")</f>
        <v>si</v>
      </c>
      <c r="G13" s="716" t="s">
        <v>1252</v>
      </c>
    </row>
    <row r="14" spans="2:38" ht="15.75" thickBot="1" x14ac:dyDescent="0.3">
      <c r="B14" s="688" t="s">
        <v>129</v>
      </c>
      <c r="C14" s="689">
        <f>SUM('Riepilogo Immobili - BA'!E16:X16)</f>
        <v>0</v>
      </c>
      <c r="D14" s="704">
        <f>C14/$C$23</f>
        <v>0</v>
      </c>
      <c r="E14" s="679" t="s">
        <v>162</v>
      </c>
      <c r="G14" s="719" t="str">
        <f>IF(AND($E$24=0,E14="si"),"ATTENZIONE! Non è possibile prevedere il servizio in extra-canone","Ok")</f>
        <v>Ok</v>
      </c>
    </row>
    <row r="15" spans="2:38" x14ac:dyDescent="0.25">
      <c r="B15" s="690" t="s">
        <v>126</v>
      </c>
      <c r="C15" s="691">
        <f>SUM('Riepilogo Immobili - BA'!E17:X17)</f>
        <v>311904</v>
      </c>
      <c r="D15" s="705">
        <f>C15/$C$23</f>
        <v>4.8661645289202846E-2</v>
      </c>
      <c r="E15" s="712" t="str">
        <f>IF(AND($E$24&gt;0,C15&gt;0),"si","no")</f>
        <v>si</v>
      </c>
      <c r="G15" s="718"/>
    </row>
    <row r="16" spans="2:38" x14ac:dyDescent="0.25">
      <c r="B16" s="688" t="s">
        <v>183</v>
      </c>
      <c r="C16" s="689">
        <f>SUM('Riepilogo Immobili - BA'!E18:X18)</f>
        <v>9592</v>
      </c>
      <c r="D16" s="704">
        <f>C16/$C$23</f>
        <v>1.4964941187481844E-3</v>
      </c>
      <c r="E16" s="711" t="str">
        <f>IF(AND($E$24&gt;0,C16&gt;0),"si","no")</f>
        <v>si</v>
      </c>
      <c r="G16" s="718"/>
    </row>
    <row r="17" spans="2:7" ht="15.75" thickBot="1" x14ac:dyDescent="0.3">
      <c r="B17" s="692" t="s">
        <v>184</v>
      </c>
      <c r="C17" s="693">
        <f>SUM('Riepilogo Immobili - BA'!E19:X19)</f>
        <v>37113.566666666666</v>
      </c>
      <c r="D17" s="706">
        <f>C17/$C$23</f>
        <v>5.7902662888277027E-3</v>
      </c>
      <c r="E17" s="713" t="str">
        <f>IF(AND($E$24&gt;0,C17&gt;0),"si","no")</f>
        <v>si</v>
      </c>
      <c r="G17" s="718"/>
    </row>
    <row r="18" spans="2:7" ht="16.5" thickBot="1" x14ac:dyDescent="0.3">
      <c r="B18" s="385" t="s">
        <v>127</v>
      </c>
      <c r="C18" s="376">
        <f>SUM(C19:C22)</f>
        <v>1296277.1516666666</v>
      </c>
      <c r="D18" s="702">
        <f t="shared" ref="D18" si="3">C18/$C$23</f>
        <v>0.20223844179908412</v>
      </c>
      <c r="E18" s="709"/>
      <c r="G18"/>
    </row>
    <row r="19" spans="2:7" x14ac:dyDescent="0.25">
      <c r="B19" s="686" t="s">
        <v>6</v>
      </c>
      <c r="C19" s="687">
        <f>SUM('Riepilogo Immobili - BA'!E21:X21)</f>
        <v>0</v>
      </c>
      <c r="D19" s="703">
        <f>C19/$C$23</f>
        <v>0</v>
      </c>
      <c r="E19" s="710" t="str">
        <f>IF(AND($E$24&gt;0,C19&gt;0),"si","no")</f>
        <v>no</v>
      </c>
      <c r="G19" s="716" t="s">
        <v>1253</v>
      </c>
    </row>
    <row r="20" spans="2:7" x14ac:dyDescent="0.25">
      <c r="B20" s="688" t="s">
        <v>1</v>
      </c>
      <c r="C20" s="689">
        <f>SUM('Riepilogo Immobili - BA'!E22:X22)</f>
        <v>1140314.8799999999</v>
      </c>
      <c r="D20" s="704">
        <f>C20/$C$23</f>
        <v>0.17790601662229374</v>
      </c>
      <c r="E20" s="679" t="s">
        <v>162</v>
      </c>
      <c r="F20" s="680"/>
      <c r="G20" s="720" t="str">
        <f>IF(AND($E$24=0,E20="si"),"ATTENZIONE! Non è possibile prevedere il servizio in extra-canone","Ok")</f>
        <v>Ok</v>
      </c>
    </row>
    <row r="21" spans="2:7" ht="15.75" thickBot="1" x14ac:dyDescent="0.3">
      <c r="B21" s="690" t="s">
        <v>0</v>
      </c>
      <c r="C21" s="691">
        <f>SUM('Riepilogo Immobili - BA'!E23:X23)</f>
        <v>0</v>
      </c>
      <c r="D21" s="707">
        <f>C21/$C$23</f>
        <v>0</v>
      </c>
      <c r="E21" s="679" t="s">
        <v>163</v>
      </c>
      <c r="F21" s="680"/>
      <c r="G21" s="721" t="str">
        <f>IF(AND($E$24=0,E21="si"),"ATTENZIONE! Non è possibile prevedere il servizio in extra-canone","Ok")</f>
        <v>Ok</v>
      </c>
    </row>
    <row r="22" spans="2:7" ht="15.75" thickBot="1" x14ac:dyDescent="0.3">
      <c r="B22" s="694" t="s">
        <v>121</v>
      </c>
      <c r="C22" s="695">
        <f>SUM('Riepilogo Immobili - BA'!E24:X24)</f>
        <v>155962.2716666667</v>
      </c>
      <c r="D22" s="708">
        <f>C22/$C$23</f>
        <v>2.4332425176790379E-2</v>
      </c>
      <c r="E22" s="714" t="str">
        <f>IF(AND($E$24&gt;0,C22&gt;0),"si","no")</f>
        <v>si</v>
      </c>
      <c r="G22" s="372"/>
    </row>
    <row r="23" spans="2:7" ht="16.5" thickBot="1" x14ac:dyDescent="0.3">
      <c r="B23" s="696" t="s">
        <v>1256</v>
      </c>
      <c r="C23" s="697">
        <f>SUM(C4,C12,C18)</f>
        <v>6409647.6423333334</v>
      </c>
      <c r="D23" s="681"/>
      <c r="E23" s="681"/>
      <c r="G23" s="722" t="s">
        <v>1249</v>
      </c>
    </row>
    <row r="24" spans="2:7" ht="29.45" customHeight="1" thickBot="1" x14ac:dyDescent="0.3">
      <c r="B24" s="698" t="s">
        <v>1219</v>
      </c>
      <c r="C24" s="682">
        <v>1711937.14</v>
      </c>
      <c r="D24" s="681"/>
      <c r="E24" s="715">
        <f>IFERROR(C24/C23,0)</f>
        <v>0.26708755855677513</v>
      </c>
      <c r="G24" s="953" t="str">
        <f>IF(C24&gt;(0.3*C23),"ATTENZIONE! Inserire un importo a consumo non superiore al 30% del canone (cfr. paragrafo 5.7.4 del Capitolato Tecnico)","Ok")</f>
        <v>Ok</v>
      </c>
    </row>
    <row r="25" spans="2:7" ht="16.5" thickBot="1" x14ac:dyDescent="0.3">
      <c r="B25" s="699" t="s">
        <v>134</v>
      </c>
      <c r="C25" s="701">
        <f>IF(C24&gt;(0.3*C23),"Non corretto",C24)</f>
        <v>1711937.14</v>
      </c>
      <c r="D25" s="681"/>
      <c r="E25" s="681"/>
      <c r="G25" s="954"/>
    </row>
    <row r="26" spans="2:7" ht="16.5" thickBot="1" x14ac:dyDescent="0.3">
      <c r="B26" s="377"/>
      <c r="C26" s="377"/>
      <c r="D26" s="681"/>
      <c r="G26" s="955"/>
    </row>
    <row r="27" spans="2:7" ht="16.5" thickBot="1" x14ac:dyDescent="0.3">
      <c r="B27" s="700" t="s">
        <v>1257</v>
      </c>
      <c r="C27" s="697">
        <f>IF(C25="Non corretto","NC",SUM(C23,C25))</f>
        <v>8121584.782333333</v>
      </c>
      <c r="D27" s="681"/>
    </row>
    <row r="28" spans="2:7" ht="18.75" x14ac:dyDescent="0.3">
      <c r="B28" s="683"/>
      <c r="C28" s="683"/>
    </row>
    <row r="29" spans="2:7" x14ac:dyDescent="0.25">
      <c r="C29" s="684"/>
    </row>
  </sheetData>
  <sheetProtection algorithmName="SHA-512" hashValue="fPCmTxdxOH68TnNwg48k0z1IR+Z432HUL6Mzul8oVaoxqm4B+pejQXtu++Pd7VZodMjqnVf3wNlE4AP0oh7HTA==" saltValue="VnF1AdxASjoyB1vkkNwQcw==" spinCount="100000" sheet="1" objects="1" scenarios="1"/>
  <dataConsolidate/>
  <mergeCells count="3">
    <mergeCell ref="G3:G4"/>
    <mergeCell ref="G24:G26"/>
    <mergeCell ref="G5:G9"/>
  </mergeCells>
  <conditionalFormatting sqref="E11 E21 C24">
    <cfRule type="notContainsBlanks" dxfId="32" priority="3">
      <formula>LEN(TRIM(C11))&gt;0</formula>
    </cfRule>
  </conditionalFormatting>
  <conditionalFormatting sqref="E14 E20">
    <cfRule type="notContainsBlanks" dxfId="31" priority="4">
      <formula>LEN(TRIM(E14))&gt;0</formula>
    </cfRule>
  </conditionalFormatting>
  <conditionalFormatting sqref="E24">
    <cfRule type="cellIs" dxfId="30" priority="1" operator="greaterThan">
      <formula>0.3</formula>
    </cfRule>
  </conditionalFormatting>
  <conditionalFormatting sqref="G5:G9 G11 G14 G20:G21 G24:G26">
    <cfRule type="notContainsText" dxfId="29" priority="2" operator="notContains" text="Ok">
      <formula>ISERROR(SEARCH("Ok",G5))</formula>
    </cfRule>
  </conditionalFormatting>
  <dataValidations count="1">
    <dataValidation type="list" allowBlank="1" showInputMessage="1" showErrorMessage="1" sqref="E20:E21 E11 E14" xr:uid="{00000000-0002-0000-0B00-000000000000}">
      <formula1>$AL$2:$AL$3</formula1>
    </dataValidation>
  </dataValidations>
  <pageMargins left="0.7" right="0.7" top="0.75" bottom="0.75" header="0.3" footer="0.3"/>
  <pageSetup paperSize="9" orientation="portrait" r:id="rId1"/>
  <ignoredErrors>
    <ignoredError sqref="C12 C18"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8"/>
  <dimension ref="A1:BE90"/>
  <sheetViews>
    <sheetView zoomScaleNormal="100" workbookViewId="0">
      <pane xSplit="5" ySplit="6" topLeftCell="G7" activePane="bottomRight" state="frozen"/>
      <selection activeCell="O24" sqref="O24:O30"/>
      <selection pane="topRight" activeCell="O24" sqref="O24:O30"/>
      <selection pane="bottomLeft" activeCell="O24" sqref="O24:O30"/>
      <selection pane="bottomRight" activeCell="G20" sqref="G20:G21"/>
    </sheetView>
  </sheetViews>
  <sheetFormatPr defaultColWidth="9.140625" defaultRowHeight="11.25" x14ac:dyDescent="0.2"/>
  <cols>
    <col min="1" max="1" width="0.5703125" style="573" customWidth="1"/>
    <col min="2" max="2" width="10.140625" style="99" customWidth="1"/>
    <col min="3" max="3" width="22.5703125" style="99" customWidth="1"/>
    <col min="4" max="4" width="9.85546875" style="99" bestFit="1" customWidth="1"/>
    <col min="5" max="5" width="29" style="99" customWidth="1"/>
    <col min="6" max="6" width="14.28515625" style="99" bestFit="1" customWidth="1"/>
    <col min="7" max="26" width="12.5703125" style="573"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s="99" customFormat="1" ht="12" thickBot="1" x14ac:dyDescent="0.25"/>
    <row r="2" spans="1:57" s="118" customFormat="1" ht="12.75" thickBot="1" x14ac:dyDescent="0.25">
      <c r="G2" s="148" t="s">
        <v>308</v>
      </c>
      <c r="H2" s="148" t="s">
        <v>309</v>
      </c>
      <c r="I2" s="148" t="s">
        <v>310</v>
      </c>
      <c r="J2" s="148" t="s">
        <v>311</v>
      </c>
      <c r="K2" s="148" t="s">
        <v>312</v>
      </c>
      <c r="L2" s="148" t="s">
        <v>313</v>
      </c>
      <c r="M2" s="148" t="s">
        <v>314</v>
      </c>
      <c r="N2" s="148" t="s">
        <v>315</v>
      </c>
      <c r="O2" s="148" t="s">
        <v>316</v>
      </c>
      <c r="P2" s="148" t="s">
        <v>317</v>
      </c>
      <c r="Q2" s="148" t="s">
        <v>318</v>
      </c>
      <c r="R2" s="148" t="s">
        <v>319</v>
      </c>
      <c r="S2" s="148" t="s">
        <v>320</v>
      </c>
      <c r="T2" s="148" t="s">
        <v>321</v>
      </c>
      <c r="U2" s="148" t="s">
        <v>322</v>
      </c>
      <c r="V2" s="148" t="s">
        <v>323</v>
      </c>
      <c r="W2" s="148" t="s">
        <v>324</v>
      </c>
      <c r="X2" s="148" t="s">
        <v>325</v>
      </c>
      <c r="Y2" s="148" t="s">
        <v>326</v>
      </c>
      <c r="Z2" s="148" t="s">
        <v>327</v>
      </c>
    </row>
    <row r="3" spans="1:57" s="119" customFormat="1" ht="24.6" customHeight="1" thickBot="1" x14ac:dyDescent="0.3">
      <c r="F3" s="124" t="s">
        <v>1170</v>
      </c>
      <c r="G3" s="487" t="str">
        <f>IF('Elenco immobili'!$C$4="","",'Elenco immobili'!$C$4)</f>
        <v>Sede ICE-AGID</v>
      </c>
      <c r="H3" s="487" t="str">
        <f>IF('Elenco immobili'!$C$5="","",'Elenco immobili'!$C$5)</f>
        <v/>
      </c>
      <c r="I3" s="487" t="str">
        <f>IF('Elenco immobili'!$C$6="","",'Elenco immobili'!$C$6)</f>
        <v/>
      </c>
      <c r="J3" s="487" t="str">
        <f>IF('Elenco immobili'!$C$7="","",'Elenco immobili'!$C$7)</f>
        <v/>
      </c>
      <c r="K3" s="487" t="str">
        <f>IF('Elenco immobili'!$C$8="","",'Elenco immobili'!$C$8)</f>
        <v/>
      </c>
      <c r="L3" s="487" t="str">
        <f>IF('Elenco immobili'!$C$9="","",'Elenco immobili'!$C$9)</f>
        <v/>
      </c>
      <c r="M3" s="487" t="str">
        <f>IF('Elenco immobili'!$C$10="","",'Elenco immobili'!$C$10)</f>
        <v/>
      </c>
      <c r="N3" s="487" t="str">
        <f>IF('Elenco immobili'!$C$11="","",'Elenco immobili'!$C$11)</f>
        <v/>
      </c>
      <c r="O3" s="487" t="str">
        <f>IF('Elenco immobili'!$C$12="","",'Elenco immobili'!$C$12)</f>
        <v/>
      </c>
      <c r="P3" s="487" t="str">
        <f>IF('Elenco immobili'!$C$13="","",'Elenco immobili'!$C$13)</f>
        <v/>
      </c>
      <c r="Q3" s="487" t="str">
        <f>IF('Elenco immobili'!$C$14="","",'Elenco immobili'!$C$14)</f>
        <v/>
      </c>
      <c r="R3" s="487" t="str">
        <f>IF('Elenco immobili'!$C$15="","",'Elenco immobili'!$C$15)</f>
        <v/>
      </c>
      <c r="S3" s="487" t="str">
        <f>IF('Elenco immobili'!$C$16="","",'Elenco immobili'!$C$16)</f>
        <v/>
      </c>
      <c r="T3" s="487" t="str">
        <f>IF('Elenco immobili'!$C$17="","",'Elenco immobili'!$C$17)</f>
        <v/>
      </c>
      <c r="U3" s="487" t="str">
        <f>IF('Elenco immobili'!$C$18="","",'Elenco immobili'!$C$18)</f>
        <v/>
      </c>
      <c r="V3" s="487" t="str">
        <f>IF('Elenco immobili'!$C$19="","",'Elenco immobili'!$C$19)</f>
        <v/>
      </c>
      <c r="W3" s="487" t="str">
        <f>IF('Elenco immobili'!$C$20="","",'Elenco immobili'!$C$20)</f>
        <v/>
      </c>
      <c r="X3" s="487" t="str">
        <f>IF('Elenco immobili'!$C$21="","",'Elenco immobili'!$C$21)</f>
        <v/>
      </c>
      <c r="Y3" s="487" t="str">
        <f>IF('Elenco immobili'!$C$22="","",'Elenco immobili'!$C$22)</f>
        <v/>
      </c>
      <c r="Z3" s="487" t="str">
        <f>IF('Elenco immobili'!$C$23="","",'Elenco immobili'!$C$23)</f>
        <v/>
      </c>
    </row>
    <row r="4" spans="1:57" ht="13.5" thickBot="1" x14ac:dyDescent="0.25">
      <c r="B4" s="105" t="s">
        <v>333</v>
      </c>
      <c r="F4" s="125" t="s">
        <v>328</v>
      </c>
      <c r="G4" s="574">
        <v>48</v>
      </c>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24" customHeight="1" thickBot="1" x14ac:dyDescent="0.25">
      <c r="A6" s="101"/>
      <c r="B6" s="121" t="s">
        <v>250</v>
      </c>
      <c r="C6" s="122" t="s">
        <v>251</v>
      </c>
      <c r="D6" s="122" t="s">
        <v>252</v>
      </c>
      <c r="E6" s="122" t="s">
        <v>253</v>
      </c>
      <c r="F6" s="123" t="s">
        <v>1174</v>
      </c>
      <c r="G6" s="582" t="s">
        <v>307</v>
      </c>
      <c r="H6" s="582" t="s">
        <v>307</v>
      </c>
      <c r="I6" s="582" t="s">
        <v>307</v>
      </c>
      <c r="J6" s="582" t="s">
        <v>307</v>
      </c>
      <c r="K6" s="582" t="s">
        <v>307</v>
      </c>
      <c r="L6" s="582" t="s">
        <v>307</v>
      </c>
      <c r="M6" s="582" t="s">
        <v>307</v>
      </c>
      <c r="N6" s="582" t="s">
        <v>307</v>
      </c>
      <c r="O6" s="582" t="s">
        <v>307</v>
      </c>
      <c r="P6" s="582" t="s">
        <v>307</v>
      </c>
      <c r="Q6" s="582" t="s">
        <v>307</v>
      </c>
      <c r="R6" s="582" t="s">
        <v>307</v>
      </c>
      <c r="S6" s="582" t="s">
        <v>307</v>
      </c>
      <c r="T6" s="582" t="s">
        <v>307</v>
      </c>
      <c r="U6" s="582" t="s">
        <v>307</v>
      </c>
      <c r="V6" s="582" t="s">
        <v>307</v>
      </c>
      <c r="W6" s="582" t="s">
        <v>307</v>
      </c>
      <c r="X6" s="582" t="s">
        <v>307</v>
      </c>
      <c r="Y6" s="582" t="s">
        <v>307</v>
      </c>
      <c r="Z6" s="582"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67.5" x14ac:dyDescent="0.2">
      <c r="A7" s="575"/>
      <c r="B7" s="203" t="s">
        <v>254</v>
      </c>
      <c r="C7" s="537" t="s">
        <v>255</v>
      </c>
      <c r="D7" s="531" t="s">
        <v>256</v>
      </c>
      <c r="E7" s="204" t="s">
        <v>257</v>
      </c>
      <c r="F7" s="205" t="s">
        <v>258</v>
      </c>
      <c r="G7" s="849">
        <v>1</v>
      </c>
      <c r="H7" s="454"/>
      <c r="I7" s="454"/>
      <c r="J7" s="454"/>
      <c r="K7" s="454"/>
      <c r="L7" s="454"/>
      <c r="M7" s="454"/>
      <c r="N7" s="454"/>
      <c r="O7" s="454"/>
      <c r="P7" s="454"/>
      <c r="Q7" s="454"/>
      <c r="R7" s="454"/>
      <c r="S7" s="454"/>
      <c r="T7" s="454"/>
      <c r="U7" s="454"/>
      <c r="V7" s="454"/>
      <c r="W7" s="454"/>
      <c r="X7" s="454"/>
      <c r="Y7" s="454"/>
      <c r="Z7" s="454"/>
      <c r="AA7" s="185">
        <v>2752.36</v>
      </c>
      <c r="AB7" s="583" t="s">
        <v>33</v>
      </c>
      <c r="AC7" s="186">
        <f>'Ribassi PE'!$K$3</f>
        <v>0.67</v>
      </c>
      <c r="AD7" s="187">
        <f t="shared" ref="AD7:AD22" si="0">ROUND(AA7*(1-AC7),3)</f>
        <v>908.279</v>
      </c>
      <c r="AE7" s="188">
        <f>'Ribassi PE'!$M$3</f>
        <v>0.52</v>
      </c>
      <c r="AF7" s="187">
        <f t="shared" ref="AF7:AF22" si="1">ROUND(AA7*(1-AE7),3)</f>
        <v>1321.133</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56.25" x14ac:dyDescent="0.2">
      <c r="A8" s="575"/>
      <c r="B8" s="206" t="s">
        <v>259</v>
      </c>
      <c r="C8" s="536" t="s">
        <v>260</v>
      </c>
      <c r="D8" s="529" t="s">
        <v>261</v>
      </c>
      <c r="E8" s="530" t="s">
        <v>262</v>
      </c>
      <c r="F8" s="207" t="s">
        <v>263</v>
      </c>
      <c r="G8" s="850">
        <v>1</v>
      </c>
      <c r="H8" s="455"/>
      <c r="I8" s="455"/>
      <c r="J8" s="455"/>
      <c r="K8" s="455"/>
      <c r="L8" s="455"/>
      <c r="M8" s="455"/>
      <c r="N8" s="455"/>
      <c r="O8" s="455"/>
      <c r="P8" s="455"/>
      <c r="Q8" s="455"/>
      <c r="R8" s="455"/>
      <c r="S8" s="455"/>
      <c r="T8" s="455"/>
      <c r="U8" s="455"/>
      <c r="V8" s="455"/>
      <c r="W8" s="455"/>
      <c r="X8" s="455"/>
      <c r="Y8" s="455"/>
      <c r="Z8" s="455"/>
      <c r="AA8" s="189">
        <v>735.87</v>
      </c>
      <c r="AB8" s="584" t="s">
        <v>33</v>
      </c>
      <c r="AC8" s="190">
        <f>'Ribassi PE'!$K$3</f>
        <v>0.67</v>
      </c>
      <c r="AD8" s="191">
        <f t="shared" si="0"/>
        <v>242.83699999999999</v>
      </c>
      <c r="AE8" s="190">
        <f>'Ribassi PE'!$M$3</f>
        <v>0.52</v>
      </c>
      <c r="AF8" s="191">
        <f t="shared" si="1"/>
        <v>353.21800000000002</v>
      </c>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56.25" x14ac:dyDescent="0.2">
      <c r="A9" s="575"/>
      <c r="B9" s="206" t="s">
        <v>264</v>
      </c>
      <c r="C9" s="536" t="s">
        <v>265</v>
      </c>
      <c r="D9" s="529" t="s">
        <v>266</v>
      </c>
      <c r="E9" s="530" t="s">
        <v>267</v>
      </c>
      <c r="F9" s="207" t="s">
        <v>268</v>
      </c>
      <c r="G9" s="850">
        <v>26290</v>
      </c>
      <c r="H9" s="455"/>
      <c r="I9" s="455"/>
      <c r="J9" s="455"/>
      <c r="K9" s="455"/>
      <c r="L9" s="455"/>
      <c r="M9" s="455"/>
      <c r="N9" s="455"/>
      <c r="O9" s="455"/>
      <c r="P9" s="455"/>
      <c r="Q9" s="455"/>
      <c r="R9" s="455"/>
      <c r="S9" s="455"/>
      <c r="T9" s="455"/>
      <c r="U9" s="455"/>
      <c r="V9" s="455"/>
      <c r="W9" s="455"/>
      <c r="X9" s="455"/>
      <c r="Y9" s="455"/>
      <c r="Z9" s="455"/>
      <c r="AA9" s="192">
        <v>2.9340000000000002</v>
      </c>
      <c r="AB9" s="584" t="s">
        <v>33</v>
      </c>
      <c r="AC9" s="193">
        <f>'Ribassi PE'!$K$3</f>
        <v>0.67</v>
      </c>
      <c r="AD9" s="194">
        <f t="shared" si="0"/>
        <v>0.96799999999999997</v>
      </c>
      <c r="AE9" s="193">
        <f>'Ribassi PE'!$M$3</f>
        <v>0.52</v>
      </c>
      <c r="AF9" s="194">
        <f t="shared" si="1"/>
        <v>1.4079999999999999</v>
      </c>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21" customHeight="1" x14ac:dyDescent="0.2">
      <c r="A10" s="575"/>
      <c r="B10" s="206" t="s">
        <v>269</v>
      </c>
      <c r="C10" s="536" t="s">
        <v>1276</v>
      </c>
      <c r="D10" s="958" t="s">
        <v>270</v>
      </c>
      <c r="E10" s="959" t="s">
        <v>271</v>
      </c>
      <c r="F10" s="207" t="s">
        <v>272</v>
      </c>
      <c r="G10" s="850">
        <v>1</v>
      </c>
      <c r="H10" s="455"/>
      <c r="I10" s="455"/>
      <c r="J10" s="455"/>
      <c r="K10" s="455"/>
      <c r="L10" s="455"/>
      <c r="M10" s="455"/>
      <c r="N10" s="455"/>
      <c r="O10" s="455"/>
      <c r="P10" s="455"/>
      <c r="Q10" s="455"/>
      <c r="R10" s="455"/>
      <c r="S10" s="455"/>
      <c r="T10" s="455"/>
      <c r="U10" s="455"/>
      <c r="V10" s="455"/>
      <c r="W10" s="455"/>
      <c r="X10" s="455"/>
      <c r="Y10" s="455"/>
      <c r="Z10" s="455"/>
      <c r="AA10" s="192">
        <v>1447.8979999999999</v>
      </c>
      <c r="AB10" s="584" t="s">
        <v>33</v>
      </c>
      <c r="AC10" s="193">
        <f>'Ribassi PE'!$K$3</f>
        <v>0.67</v>
      </c>
      <c r="AD10" s="194">
        <f t="shared" si="0"/>
        <v>477.80599999999998</v>
      </c>
      <c r="AE10" s="193">
        <f>'Ribassi PE'!$M$3</f>
        <v>0.52</v>
      </c>
      <c r="AF10" s="194">
        <f t="shared" si="1"/>
        <v>694.99099999999999</v>
      </c>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33.75" x14ac:dyDescent="0.2">
      <c r="A11" s="575"/>
      <c r="B11" s="206" t="s">
        <v>273</v>
      </c>
      <c r="C11" s="536" t="s">
        <v>1277</v>
      </c>
      <c r="D11" s="958"/>
      <c r="E11" s="959"/>
      <c r="F11" s="207" t="s">
        <v>272</v>
      </c>
      <c r="G11" s="850"/>
      <c r="H11" s="455"/>
      <c r="I11" s="455"/>
      <c r="J11" s="455"/>
      <c r="K11" s="455"/>
      <c r="L11" s="455"/>
      <c r="M11" s="455"/>
      <c r="N11" s="455"/>
      <c r="O11" s="455"/>
      <c r="P11" s="455"/>
      <c r="Q11" s="455"/>
      <c r="R11" s="455"/>
      <c r="S11" s="455"/>
      <c r="T11" s="455"/>
      <c r="U11" s="455"/>
      <c r="V11" s="455"/>
      <c r="W11" s="455"/>
      <c r="X11" s="455"/>
      <c r="Y11" s="455"/>
      <c r="Z11" s="455"/>
      <c r="AA11" s="189">
        <v>1882.614</v>
      </c>
      <c r="AB11" s="584" t="s">
        <v>33</v>
      </c>
      <c r="AC11" s="190">
        <f>'Ribassi PE'!$K$3</f>
        <v>0.67</v>
      </c>
      <c r="AD11" s="191">
        <f t="shared" si="0"/>
        <v>621.26300000000003</v>
      </c>
      <c r="AE11" s="190">
        <f>'Ribassi PE'!$M$3</f>
        <v>0.52</v>
      </c>
      <c r="AF11" s="191">
        <f t="shared" si="1"/>
        <v>903.65499999999997</v>
      </c>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33.75" x14ac:dyDescent="0.2">
      <c r="A12" s="575"/>
      <c r="B12" s="206" t="s">
        <v>274</v>
      </c>
      <c r="C12" s="536" t="s">
        <v>1278</v>
      </c>
      <c r="D12" s="958"/>
      <c r="E12" s="959"/>
      <c r="F12" s="207" t="s">
        <v>272</v>
      </c>
      <c r="G12" s="850"/>
      <c r="H12" s="455"/>
      <c r="I12" s="455"/>
      <c r="J12" s="455"/>
      <c r="K12" s="455"/>
      <c r="L12" s="455"/>
      <c r="M12" s="455"/>
      <c r="N12" s="455"/>
      <c r="O12" s="455"/>
      <c r="P12" s="455"/>
      <c r="Q12" s="455"/>
      <c r="R12" s="455"/>
      <c r="S12" s="455"/>
      <c r="T12" s="455"/>
      <c r="U12" s="455"/>
      <c r="V12" s="455"/>
      <c r="W12" s="455"/>
      <c r="X12" s="455"/>
      <c r="Y12" s="455"/>
      <c r="Z12" s="455"/>
      <c r="AA12" s="189">
        <v>2168.12</v>
      </c>
      <c r="AB12" s="584" t="s">
        <v>33</v>
      </c>
      <c r="AC12" s="190">
        <f>'Ribassi PE'!$K$3</f>
        <v>0.67</v>
      </c>
      <c r="AD12" s="191">
        <f t="shared" si="0"/>
        <v>715.48</v>
      </c>
      <c r="AE12" s="190">
        <f>'Ribassi PE'!$M$3</f>
        <v>0.52</v>
      </c>
      <c r="AF12" s="191">
        <f t="shared" si="1"/>
        <v>1040.6980000000001</v>
      </c>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22.5" x14ac:dyDescent="0.2">
      <c r="A13" s="575"/>
      <c r="B13" s="206" t="s">
        <v>275</v>
      </c>
      <c r="C13" s="536" t="s">
        <v>1279</v>
      </c>
      <c r="D13" s="958"/>
      <c r="E13" s="959"/>
      <c r="F13" s="207" t="s">
        <v>272</v>
      </c>
      <c r="G13" s="850"/>
      <c r="H13" s="455"/>
      <c r="I13" s="455"/>
      <c r="J13" s="455"/>
      <c r="K13" s="455"/>
      <c r="L13" s="455"/>
      <c r="M13" s="455"/>
      <c r="N13" s="455"/>
      <c r="O13" s="455"/>
      <c r="P13" s="455"/>
      <c r="Q13" s="455"/>
      <c r="R13" s="455"/>
      <c r="S13" s="455"/>
      <c r="T13" s="455"/>
      <c r="U13" s="455"/>
      <c r="V13" s="455"/>
      <c r="W13" s="455"/>
      <c r="X13" s="455"/>
      <c r="Y13" s="455"/>
      <c r="Z13" s="455"/>
      <c r="AA13" s="189">
        <v>2670.1840000000002</v>
      </c>
      <c r="AB13" s="584" t="s">
        <v>33</v>
      </c>
      <c r="AC13" s="190">
        <f>'Ribassi PE'!$K$3</f>
        <v>0.67</v>
      </c>
      <c r="AD13" s="191">
        <f t="shared" si="0"/>
        <v>881.16099999999994</v>
      </c>
      <c r="AE13" s="190">
        <f>'Ribassi PE'!$M$3</f>
        <v>0.52</v>
      </c>
      <c r="AF13" s="191">
        <f t="shared" si="1"/>
        <v>1281.6880000000001</v>
      </c>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22.5" x14ac:dyDescent="0.2">
      <c r="A14" s="575"/>
      <c r="B14" s="206" t="s">
        <v>276</v>
      </c>
      <c r="C14" s="536" t="s">
        <v>277</v>
      </c>
      <c r="D14" s="958" t="s">
        <v>278</v>
      </c>
      <c r="E14" s="959" t="s">
        <v>279</v>
      </c>
      <c r="F14" s="207" t="s">
        <v>280</v>
      </c>
      <c r="G14" s="850"/>
      <c r="H14" s="455"/>
      <c r="I14" s="455"/>
      <c r="J14" s="455"/>
      <c r="K14" s="455"/>
      <c r="L14" s="455"/>
      <c r="M14" s="455"/>
      <c r="N14" s="455"/>
      <c r="O14" s="455"/>
      <c r="P14" s="455"/>
      <c r="Q14" s="455"/>
      <c r="R14" s="455"/>
      <c r="S14" s="455"/>
      <c r="T14" s="455"/>
      <c r="U14" s="455"/>
      <c r="V14" s="455"/>
      <c r="W14" s="455"/>
      <c r="X14" s="455"/>
      <c r="Y14" s="455"/>
      <c r="Z14" s="455"/>
      <c r="AA14" s="192">
        <v>566.69299999999998</v>
      </c>
      <c r="AB14" s="584" t="s">
        <v>33</v>
      </c>
      <c r="AC14" s="195">
        <f>'Ribassi PE'!$K$3</f>
        <v>0.67</v>
      </c>
      <c r="AD14" s="196">
        <f t="shared" si="0"/>
        <v>187.00899999999999</v>
      </c>
      <c r="AE14" s="195">
        <f>'Ribassi PE'!$M$3</f>
        <v>0.52</v>
      </c>
      <c r="AF14" s="196">
        <f t="shared" si="1"/>
        <v>272.01299999999998</v>
      </c>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ht="22.5" x14ac:dyDescent="0.2">
      <c r="A15" s="575"/>
      <c r="B15" s="206" t="s">
        <v>281</v>
      </c>
      <c r="C15" s="536" t="s">
        <v>282</v>
      </c>
      <c r="D15" s="958"/>
      <c r="E15" s="959"/>
      <c r="F15" s="207" t="s">
        <v>280</v>
      </c>
      <c r="G15" s="850">
        <v>6</v>
      </c>
      <c r="H15" s="455"/>
      <c r="I15" s="455"/>
      <c r="J15" s="455"/>
      <c r="K15" s="455"/>
      <c r="L15" s="455"/>
      <c r="M15" s="455"/>
      <c r="N15" s="455"/>
      <c r="O15" s="455"/>
      <c r="P15" s="455"/>
      <c r="Q15" s="455"/>
      <c r="R15" s="455"/>
      <c r="S15" s="455"/>
      <c r="T15" s="455"/>
      <c r="U15" s="455"/>
      <c r="V15" s="455"/>
      <c r="W15" s="455"/>
      <c r="X15" s="455"/>
      <c r="Y15" s="455"/>
      <c r="Z15" s="455"/>
      <c r="AA15" s="192">
        <v>1303.394</v>
      </c>
      <c r="AB15" s="584" t="s">
        <v>33</v>
      </c>
      <c r="AC15" s="190">
        <f>'Ribassi PE'!$K$3</f>
        <v>0.67</v>
      </c>
      <c r="AD15" s="197">
        <f t="shared" si="0"/>
        <v>430.12</v>
      </c>
      <c r="AE15" s="190">
        <f>'Ribassi PE'!$M$3</f>
        <v>0.52</v>
      </c>
      <c r="AF15" s="197">
        <f t="shared" si="1"/>
        <v>625.62900000000002</v>
      </c>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ht="22.5" x14ac:dyDescent="0.2">
      <c r="A16" s="575"/>
      <c r="B16" s="206" t="s">
        <v>283</v>
      </c>
      <c r="C16" s="536" t="s">
        <v>284</v>
      </c>
      <c r="D16" s="958"/>
      <c r="E16" s="959"/>
      <c r="F16" s="207" t="s">
        <v>280</v>
      </c>
      <c r="G16" s="850"/>
      <c r="H16" s="455"/>
      <c r="I16" s="455"/>
      <c r="J16" s="455"/>
      <c r="K16" s="455"/>
      <c r="L16" s="455"/>
      <c r="M16" s="455"/>
      <c r="N16" s="455"/>
      <c r="O16" s="455"/>
      <c r="P16" s="455"/>
      <c r="Q16" s="455"/>
      <c r="R16" s="455"/>
      <c r="S16" s="455"/>
      <c r="T16" s="455"/>
      <c r="U16" s="455"/>
      <c r="V16" s="455"/>
      <c r="W16" s="455"/>
      <c r="X16" s="455"/>
      <c r="Y16" s="455"/>
      <c r="Z16" s="455"/>
      <c r="AA16" s="192">
        <v>1596.299</v>
      </c>
      <c r="AB16" s="584" t="s">
        <v>33</v>
      </c>
      <c r="AC16" s="193">
        <f>'Ribassi PE'!$K$3</f>
        <v>0.67</v>
      </c>
      <c r="AD16" s="194">
        <f t="shared" si="0"/>
        <v>526.779</v>
      </c>
      <c r="AE16" s="193">
        <f>'Ribassi PE'!$M$3</f>
        <v>0.52</v>
      </c>
      <c r="AF16" s="194">
        <f t="shared" si="1"/>
        <v>766.22400000000005</v>
      </c>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ht="22.5" x14ac:dyDescent="0.2">
      <c r="A17" s="575"/>
      <c r="B17" s="206" t="s">
        <v>285</v>
      </c>
      <c r="C17" s="536" t="s">
        <v>286</v>
      </c>
      <c r="D17" s="958"/>
      <c r="E17" s="959"/>
      <c r="F17" s="207" t="s">
        <v>280</v>
      </c>
      <c r="G17" s="850"/>
      <c r="H17" s="455"/>
      <c r="I17" s="455"/>
      <c r="J17" s="455"/>
      <c r="K17" s="455"/>
      <c r="L17" s="455"/>
      <c r="M17" s="455"/>
      <c r="N17" s="455"/>
      <c r="O17" s="455"/>
      <c r="P17" s="455"/>
      <c r="Q17" s="455"/>
      <c r="R17" s="455"/>
      <c r="S17" s="455"/>
      <c r="T17" s="455"/>
      <c r="U17" s="455"/>
      <c r="V17" s="455"/>
      <c r="W17" s="455"/>
      <c r="X17" s="455"/>
      <c r="Y17" s="455"/>
      <c r="Z17" s="455"/>
      <c r="AA17" s="189">
        <v>1962.3589999999999</v>
      </c>
      <c r="AB17" s="584" t="s">
        <v>33</v>
      </c>
      <c r="AC17" s="190">
        <f>'Ribassi PE'!$K$3</f>
        <v>0.67</v>
      </c>
      <c r="AD17" s="191">
        <f t="shared" si="0"/>
        <v>647.57799999999997</v>
      </c>
      <c r="AE17" s="190">
        <f>'Ribassi PE'!$M$3</f>
        <v>0.52</v>
      </c>
      <c r="AF17" s="191">
        <f t="shared" si="1"/>
        <v>941.93200000000002</v>
      </c>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ht="22.5" x14ac:dyDescent="0.2">
      <c r="A18" s="575"/>
      <c r="B18" s="206" t="s">
        <v>287</v>
      </c>
      <c r="C18" s="536" t="s">
        <v>288</v>
      </c>
      <c r="D18" s="958"/>
      <c r="E18" s="959"/>
      <c r="F18" s="207" t="s">
        <v>280</v>
      </c>
      <c r="G18" s="850"/>
      <c r="H18" s="455"/>
      <c r="I18" s="455"/>
      <c r="J18" s="455"/>
      <c r="K18" s="455"/>
      <c r="L18" s="455"/>
      <c r="M18" s="455"/>
      <c r="N18" s="455"/>
      <c r="O18" s="455"/>
      <c r="P18" s="455"/>
      <c r="Q18" s="455"/>
      <c r="R18" s="455"/>
      <c r="S18" s="455"/>
      <c r="T18" s="455"/>
      <c r="U18" s="455"/>
      <c r="V18" s="455"/>
      <c r="W18" s="455"/>
      <c r="X18" s="455"/>
      <c r="Y18" s="455"/>
      <c r="Z18" s="455"/>
      <c r="AA18" s="189">
        <v>2464.5639999999999</v>
      </c>
      <c r="AB18" s="584" t="s">
        <v>33</v>
      </c>
      <c r="AC18" s="190">
        <f>'Ribassi PE'!$K$3</f>
        <v>0.67</v>
      </c>
      <c r="AD18" s="191">
        <f t="shared" si="0"/>
        <v>813.30600000000004</v>
      </c>
      <c r="AE18" s="190">
        <f>'Ribassi PE'!$M$3</f>
        <v>0.52</v>
      </c>
      <c r="AF18" s="191">
        <f t="shared" si="1"/>
        <v>1182.991</v>
      </c>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ht="45" x14ac:dyDescent="0.2">
      <c r="A19" s="575"/>
      <c r="B19" s="206" t="s">
        <v>289</v>
      </c>
      <c r="C19" s="536" t="s">
        <v>290</v>
      </c>
      <c r="D19" s="529" t="s">
        <v>291</v>
      </c>
      <c r="E19" s="530" t="s">
        <v>292</v>
      </c>
      <c r="F19" s="207" t="s">
        <v>268</v>
      </c>
      <c r="G19" s="850">
        <v>26290</v>
      </c>
      <c r="H19" s="455"/>
      <c r="I19" s="455"/>
      <c r="J19" s="455"/>
      <c r="K19" s="455"/>
      <c r="L19" s="455"/>
      <c r="M19" s="455"/>
      <c r="N19" s="455"/>
      <c r="O19" s="455"/>
      <c r="P19" s="455"/>
      <c r="Q19" s="455"/>
      <c r="R19" s="455"/>
      <c r="S19" s="455"/>
      <c r="T19" s="455"/>
      <c r="U19" s="455"/>
      <c r="V19" s="455"/>
      <c r="W19" s="455"/>
      <c r="X19" s="455"/>
      <c r="Y19" s="455"/>
      <c r="Z19" s="455"/>
      <c r="AA19" s="192">
        <v>7.1999999999999995E-2</v>
      </c>
      <c r="AB19" s="584" t="s">
        <v>33</v>
      </c>
      <c r="AC19" s="193">
        <f>'Ribassi PE'!$K$3</f>
        <v>0.67</v>
      </c>
      <c r="AD19" s="194">
        <f t="shared" si="0"/>
        <v>2.4E-2</v>
      </c>
      <c r="AE19" s="193">
        <f>'Ribassi PE'!$M$3</f>
        <v>0.52</v>
      </c>
      <c r="AF19" s="194">
        <f t="shared" si="1"/>
        <v>3.5000000000000003E-2</v>
      </c>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7"/>
    </row>
    <row r="20" spans="1:57" ht="56.25" x14ac:dyDescent="0.2">
      <c r="A20" s="575"/>
      <c r="B20" s="206" t="s">
        <v>293</v>
      </c>
      <c r="C20" s="536" t="s">
        <v>294</v>
      </c>
      <c r="D20" s="529" t="s">
        <v>295</v>
      </c>
      <c r="E20" s="530" t="s">
        <v>296</v>
      </c>
      <c r="F20" s="207" t="s">
        <v>268</v>
      </c>
      <c r="G20" s="850">
        <v>26290</v>
      </c>
      <c r="H20" s="455"/>
      <c r="I20" s="455"/>
      <c r="J20" s="455"/>
      <c r="K20" s="455"/>
      <c r="L20" s="455"/>
      <c r="M20" s="455"/>
      <c r="N20" s="455"/>
      <c r="O20" s="455"/>
      <c r="P20" s="455"/>
      <c r="Q20" s="455"/>
      <c r="R20" s="455"/>
      <c r="S20" s="455"/>
      <c r="T20" s="455"/>
      <c r="U20" s="455"/>
      <c r="V20" s="455"/>
      <c r="W20" s="455"/>
      <c r="X20" s="455"/>
      <c r="Y20" s="455"/>
      <c r="Z20" s="455"/>
      <c r="AA20" s="189">
        <v>4.5999999999999999E-2</v>
      </c>
      <c r="AB20" s="584" t="s">
        <v>33</v>
      </c>
      <c r="AC20" s="190">
        <f>'Ribassi PE'!$K$3</f>
        <v>0.67</v>
      </c>
      <c r="AD20" s="191">
        <f t="shared" si="0"/>
        <v>1.4999999999999999E-2</v>
      </c>
      <c r="AE20" s="190">
        <f>'Ribassi PE'!$M$3</f>
        <v>0.52</v>
      </c>
      <c r="AF20" s="191">
        <f t="shared" si="1"/>
        <v>2.1999999999999999E-2</v>
      </c>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7"/>
    </row>
    <row r="21" spans="1:57" ht="45" x14ac:dyDescent="0.2">
      <c r="A21" s="575"/>
      <c r="B21" s="206" t="s">
        <v>297</v>
      </c>
      <c r="C21" s="536" t="s">
        <v>298</v>
      </c>
      <c r="D21" s="529" t="s">
        <v>299</v>
      </c>
      <c r="E21" s="530" t="s">
        <v>300</v>
      </c>
      <c r="F21" s="207" t="s">
        <v>301</v>
      </c>
      <c r="G21" s="850">
        <v>36</v>
      </c>
      <c r="H21" s="455"/>
      <c r="I21" s="455"/>
      <c r="J21" s="455"/>
      <c r="K21" s="455"/>
      <c r="L21" s="455"/>
      <c r="M21" s="455"/>
      <c r="N21" s="455"/>
      <c r="O21" s="455"/>
      <c r="P21" s="455"/>
      <c r="Q21" s="455"/>
      <c r="R21" s="455"/>
      <c r="S21" s="455"/>
      <c r="T21" s="455"/>
      <c r="U21" s="455"/>
      <c r="V21" s="455"/>
      <c r="W21" s="455"/>
      <c r="X21" s="455"/>
      <c r="Y21" s="455"/>
      <c r="Z21" s="455"/>
      <c r="AA21" s="192">
        <v>73.281999999999996</v>
      </c>
      <c r="AB21" s="584" t="s">
        <v>33</v>
      </c>
      <c r="AC21" s="193">
        <f>'Ribassi PE'!$K$3</f>
        <v>0.67</v>
      </c>
      <c r="AD21" s="194">
        <f t="shared" si="0"/>
        <v>24.183</v>
      </c>
      <c r="AE21" s="193">
        <f>'Ribassi PE'!$M$3</f>
        <v>0.52</v>
      </c>
      <c r="AF21" s="194">
        <f t="shared" si="1"/>
        <v>35.174999999999997</v>
      </c>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7"/>
    </row>
    <row r="22" spans="1:57" ht="90.75" thickBot="1" x14ac:dyDescent="0.25">
      <c r="A22" s="578"/>
      <c r="B22" s="208" t="s">
        <v>302</v>
      </c>
      <c r="C22" s="209" t="s">
        <v>303</v>
      </c>
      <c r="D22" s="532" t="s">
        <v>304</v>
      </c>
      <c r="E22" s="210" t="s">
        <v>305</v>
      </c>
      <c r="F22" s="211" t="s">
        <v>306</v>
      </c>
      <c r="G22" s="851"/>
      <c r="H22" s="456"/>
      <c r="I22" s="456"/>
      <c r="J22" s="456"/>
      <c r="K22" s="456"/>
      <c r="L22" s="456"/>
      <c r="M22" s="456"/>
      <c r="N22" s="456"/>
      <c r="O22" s="456"/>
      <c r="P22" s="456"/>
      <c r="Q22" s="456"/>
      <c r="R22" s="456"/>
      <c r="S22" s="456"/>
      <c r="T22" s="456"/>
      <c r="U22" s="456"/>
      <c r="V22" s="456"/>
      <c r="W22" s="456"/>
      <c r="X22" s="456"/>
      <c r="Y22" s="456"/>
      <c r="Z22" s="456"/>
      <c r="AA22" s="198">
        <v>11.233000000000001</v>
      </c>
      <c r="AB22" s="585" t="s">
        <v>33</v>
      </c>
      <c r="AC22" s="199">
        <f>'Ribassi PE'!$K$3</f>
        <v>0.67</v>
      </c>
      <c r="AD22" s="200">
        <f t="shared" si="0"/>
        <v>3.7069999999999999</v>
      </c>
      <c r="AE22" s="199">
        <f>'Ribassi PE'!$M$3</f>
        <v>0.52</v>
      </c>
      <c r="AF22" s="200">
        <f t="shared" si="1"/>
        <v>5.3920000000000003</v>
      </c>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s="99" customFormat="1" ht="12.75" thickBot="1" x14ac:dyDescent="0.25">
      <c r="A23" s="98"/>
      <c r="B23" s="98"/>
      <c r="C23" s="98"/>
      <c r="D23" s="98"/>
      <c r="E23" s="98"/>
      <c r="F23" s="125" t="s">
        <v>329</v>
      </c>
      <c r="G23" s="126">
        <f>SUMPRODUCT(G7:G22,$AA$7:$AA$22)*G$4/12</f>
        <v>382526.89600000001</v>
      </c>
      <c r="H23" s="126">
        <f>SUMPRODUCT(H7:H22,$AA$7:$AA$22)*H$4/12</f>
        <v>0</v>
      </c>
      <c r="I23" s="126">
        <f t="shared" ref="I23:Z23" si="2">SUMPRODUCT(I7:I22,$AA$7:$AA$22)*I$4/12</f>
        <v>0</v>
      </c>
      <c r="J23" s="126">
        <f t="shared" si="2"/>
        <v>0</v>
      </c>
      <c r="K23" s="126">
        <f t="shared" si="2"/>
        <v>0</v>
      </c>
      <c r="L23" s="126">
        <f t="shared" si="2"/>
        <v>0</v>
      </c>
      <c r="M23" s="126">
        <f t="shared" si="2"/>
        <v>0</v>
      </c>
      <c r="N23" s="126">
        <f t="shared" si="2"/>
        <v>0</v>
      </c>
      <c r="O23" s="126">
        <f t="shared" si="2"/>
        <v>0</v>
      </c>
      <c r="P23" s="126">
        <f t="shared" si="2"/>
        <v>0</v>
      </c>
      <c r="Q23" s="126">
        <f t="shared" si="2"/>
        <v>0</v>
      </c>
      <c r="R23" s="126">
        <f t="shared" si="2"/>
        <v>0</v>
      </c>
      <c r="S23" s="126">
        <f t="shared" si="2"/>
        <v>0</v>
      </c>
      <c r="T23" s="126">
        <f t="shared" si="2"/>
        <v>0</v>
      </c>
      <c r="U23" s="126">
        <f t="shared" si="2"/>
        <v>0</v>
      </c>
      <c r="V23" s="126">
        <f t="shared" si="2"/>
        <v>0</v>
      </c>
      <c r="W23" s="126">
        <f t="shared" si="2"/>
        <v>0</v>
      </c>
      <c r="X23" s="126">
        <f t="shared" si="2"/>
        <v>0</v>
      </c>
      <c r="Y23" s="126">
        <f t="shared" si="2"/>
        <v>0</v>
      </c>
      <c r="Z23" s="126">
        <f t="shared" si="2"/>
        <v>0</v>
      </c>
      <c r="AA23" s="97"/>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6"/>
    </row>
    <row r="24" spans="1:57" s="99" customFormat="1" ht="12.75" thickBot="1" x14ac:dyDescent="0.25">
      <c r="A24" s="98"/>
      <c r="B24" s="98"/>
      <c r="C24" s="98"/>
      <c r="D24" s="98"/>
      <c r="E24" s="98"/>
      <c r="F24" s="581" t="s">
        <v>330</v>
      </c>
      <c r="G24" s="201">
        <f>SUMPRODUCT(G7:G22,$AD$7:$AD$22)*G$4/12</f>
        <v>126217.03999999998</v>
      </c>
      <c r="H24" s="201">
        <f t="shared" ref="H24:Z24" si="3">SUMPRODUCT(H7:H22,$AD$7:$AD$22)*H$4/12</f>
        <v>0</v>
      </c>
      <c r="I24" s="201">
        <f t="shared" si="3"/>
        <v>0</v>
      </c>
      <c r="J24" s="201">
        <f t="shared" si="3"/>
        <v>0</v>
      </c>
      <c r="K24" s="201">
        <f t="shared" si="3"/>
        <v>0</v>
      </c>
      <c r="L24" s="201">
        <f t="shared" si="3"/>
        <v>0</v>
      </c>
      <c r="M24" s="201">
        <f t="shared" si="3"/>
        <v>0</v>
      </c>
      <c r="N24" s="201">
        <f t="shared" si="3"/>
        <v>0</v>
      </c>
      <c r="O24" s="201">
        <f t="shared" si="3"/>
        <v>0</v>
      </c>
      <c r="P24" s="201">
        <f t="shared" si="3"/>
        <v>0</v>
      </c>
      <c r="Q24" s="201">
        <f t="shared" si="3"/>
        <v>0</v>
      </c>
      <c r="R24" s="201">
        <f t="shared" si="3"/>
        <v>0</v>
      </c>
      <c r="S24" s="201">
        <f t="shared" si="3"/>
        <v>0</v>
      </c>
      <c r="T24" s="201">
        <f t="shared" si="3"/>
        <v>0</v>
      </c>
      <c r="U24" s="201">
        <f t="shared" si="3"/>
        <v>0</v>
      </c>
      <c r="V24" s="201">
        <f t="shared" si="3"/>
        <v>0</v>
      </c>
      <c r="W24" s="201">
        <f t="shared" si="3"/>
        <v>0</v>
      </c>
      <c r="X24" s="201">
        <f t="shared" si="3"/>
        <v>0</v>
      </c>
      <c r="Y24" s="201">
        <f t="shared" si="3"/>
        <v>0</v>
      </c>
      <c r="Z24" s="202">
        <f t="shared" si="3"/>
        <v>0</v>
      </c>
      <c r="AA24" s="97"/>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6"/>
    </row>
    <row r="25" spans="1:57" s="99" customFormat="1" ht="12.75" thickBot="1" x14ac:dyDescent="0.25">
      <c r="A25" s="98"/>
      <c r="B25" s="98"/>
      <c r="C25" s="98"/>
      <c r="D25" s="98"/>
      <c r="E25" s="98"/>
      <c r="F25" s="581" t="s">
        <v>331</v>
      </c>
      <c r="G25" s="201">
        <f>SUMPRODUCT(G7:G22,$AF$7:$AF$22)*G$4/12</f>
        <v>183617.06400000001</v>
      </c>
      <c r="H25" s="201">
        <f t="shared" ref="H25:Z25" si="4">SUMPRODUCT(H7:H22,$AF$7:$AF$22)*H$4/12</f>
        <v>0</v>
      </c>
      <c r="I25" s="201">
        <f t="shared" si="4"/>
        <v>0</v>
      </c>
      <c r="J25" s="201">
        <f t="shared" si="4"/>
        <v>0</v>
      </c>
      <c r="K25" s="201">
        <f t="shared" si="4"/>
        <v>0</v>
      </c>
      <c r="L25" s="201">
        <f t="shared" si="4"/>
        <v>0</v>
      </c>
      <c r="M25" s="201">
        <f t="shared" si="4"/>
        <v>0</v>
      </c>
      <c r="N25" s="201">
        <f t="shared" si="4"/>
        <v>0</v>
      </c>
      <c r="O25" s="201">
        <f t="shared" si="4"/>
        <v>0</v>
      </c>
      <c r="P25" s="201">
        <f t="shared" si="4"/>
        <v>0</v>
      </c>
      <c r="Q25" s="201">
        <f t="shared" si="4"/>
        <v>0</v>
      </c>
      <c r="R25" s="201">
        <f t="shared" si="4"/>
        <v>0</v>
      </c>
      <c r="S25" s="201">
        <f t="shared" si="4"/>
        <v>0</v>
      </c>
      <c r="T25" s="201">
        <f t="shared" si="4"/>
        <v>0</v>
      </c>
      <c r="U25" s="201">
        <f t="shared" si="4"/>
        <v>0</v>
      </c>
      <c r="V25" s="201">
        <f t="shared" si="4"/>
        <v>0</v>
      </c>
      <c r="W25" s="201">
        <f t="shared" si="4"/>
        <v>0</v>
      </c>
      <c r="X25" s="201">
        <f t="shared" si="4"/>
        <v>0</v>
      </c>
      <c r="Y25" s="201">
        <f t="shared" si="4"/>
        <v>0</v>
      </c>
      <c r="Z25" s="202">
        <f t="shared" si="4"/>
        <v>0</v>
      </c>
      <c r="AA25" s="97"/>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6"/>
    </row>
    <row r="26" spans="1:57" x14ac:dyDescent="0.2">
      <c r="A26" s="576"/>
      <c r="B26" s="98"/>
      <c r="C26" s="98"/>
      <c r="D26" s="98"/>
      <c r="E26" s="98"/>
      <c r="F26" s="98"/>
      <c r="G26" s="576"/>
      <c r="H26" s="576"/>
      <c r="I26" s="576"/>
      <c r="J26" s="576"/>
      <c r="K26" s="576"/>
      <c r="L26" s="576"/>
      <c r="M26" s="576"/>
      <c r="N26" s="576"/>
      <c r="O26" s="576"/>
      <c r="P26" s="576"/>
      <c r="Q26" s="576"/>
      <c r="R26" s="576"/>
      <c r="S26" s="576"/>
      <c r="T26" s="576"/>
      <c r="U26" s="576"/>
      <c r="V26" s="576"/>
      <c r="W26" s="576"/>
      <c r="X26" s="576"/>
      <c r="Y26" s="576"/>
      <c r="Z26" s="576"/>
      <c r="AA26" s="98"/>
      <c r="AB26" s="98"/>
      <c r="AC26" s="98"/>
      <c r="AD26" s="98"/>
      <c r="AE26" s="98"/>
      <c r="AF26" s="98"/>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x14ac:dyDescent="0.2">
      <c r="A27" s="576"/>
      <c r="B27" s="98"/>
      <c r="C27" s="98"/>
      <c r="D27" s="98"/>
      <c r="E27" s="98"/>
      <c r="F27" s="98"/>
      <c r="G27" s="576"/>
      <c r="H27" s="576"/>
      <c r="I27" s="576"/>
      <c r="J27" s="576"/>
      <c r="K27" s="576"/>
      <c r="L27" s="576"/>
      <c r="M27" s="576"/>
      <c r="N27" s="576"/>
      <c r="O27" s="576"/>
      <c r="P27" s="576"/>
      <c r="Q27" s="576"/>
      <c r="R27" s="576"/>
      <c r="S27" s="576"/>
      <c r="T27" s="576"/>
      <c r="U27" s="576"/>
      <c r="V27" s="576"/>
      <c r="W27" s="576"/>
      <c r="X27" s="576"/>
      <c r="Y27" s="576"/>
      <c r="Z27" s="576"/>
      <c r="AA27" s="98"/>
      <c r="AB27" s="98"/>
      <c r="AC27" s="98"/>
      <c r="AD27" s="98"/>
      <c r="AE27" s="98"/>
      <c r="AF27" s="98"/>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x14ac:dyDescent="0.2">
      <c r="A28" s="576"/>
      <c r="B28" s="98"/>
      <c r="C28" s="98"/>
      <c r="D28" s="98"/>
      <c r="E28" s="98"/>
      <c r="F28" s="98"/>
      <c r="G28" s="576"/>
      <c r="H28" s="576"/>
      <c r="I28" s="576"/>
      <c r="J28" s="576"/>
      <c r="K28" s="576"/>
      <c r="L28" s="576"/>
      <c r="M28" s="576"/>
      <c r="N28" s="576"/>
      <c r="O28" s="576"/>
      <c r="P28" s="576"/>
      <c r="Q28" s="576"/>
      <c r="R28" s="576"/>
      <c r="S28" s="576"/>
      <c r="T28" s="576"/>
      <c r="U28" s="576"/>
      <c r="V28" s="576"/>
      <c r="W28" s="576"/>
      <c r="X28" s="576"/>
      <c r="Y28" s="576"/>
      <c r="Z28" s="576"/>
      <c r="AA28" s="98"/>
      <c r="AB28" s="98"/>
      <c r="AC28" s="98"/>
      <c r="AD28" s="98"/>
      <c r="AE28" s="98"/>
      <c r="AF28" s="98"/>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x14ac:dyDescent="0.2">
      <c r="A29" s="576"/>
      <c r="B29" s="98"/>
      <c r="C29" s="98"/>
      <c r="D29" s="98"/>
      <c r="E29" s="98"/>
      <c r="F29" s="98"/>
      <c r="G29" s="576"/>
      <c r="H29" s="576"/>
      <c r="I29" s="576"/>
      <c r="J29" s="576"/>
      <c r="K29" s="576"/>
      <c r="L29" s="576"/>
      <c r="M29" s="576"/>
      <c r="N29" s="576"/>
      <c r="O29" s="576"/>
      <c r="P29" s="576"/>
      <c r="Q29" s="576"/>
      <c r="R29" s="576"/>
      <c r="S29" s="576"/>
      <c r="T29" s="576"/>
      <c r="U29" s="576"/>
      <c r="V29" s="576"/>
      <c r="W29" s="576"/>
      <c r="X29" s="576"/>
      <c r="Y29" s="576"/>
      <c r="Z29" s="576"/>
      <c r="AA29" s="98"/>
      <c r="AB29" s="98"/>
      <c r="AC29" s="98"/>
      <c r="AD29" s="98"/>
      <c r="AE29" s="98"/>
      <c r="AF29" s="98"/>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x14ac:dyDescent="0.2">
      <c r="A30" s="576"/>
      <c r="B30" s="98"/>
      <c r="C30" s="98"/>
      <c r="D30" s="98"/>
      <c r="E30" s="98"/>
      <c r="F30" s="98"/>
      <c r="G30" s="576"/>
      <c r="H30" s="576"/>
      <c r="I30" s="576"/>
      <c r="J30" s="576"/>
      <c r="K30" s="576"/>
      <c r="L30" s="576"/>
      <c r="M30" s="576"/>
      <c r="N30" s="576"/>
      <c r="O30" s="576"/>
      <c r="P30" s="576"/>
      <c r="Q30" s="576"/>
      <c r="R30" s="576"/>
      <c r="S30" s="576"/>
      <c r="T30" s="576"/>
      <c r="U30" s="576"/>
      <c r="V30" s="576"/>
      <c r="W30" s="576"/>
      <c r="X30" s="576"/>
      <c r="Y30" s="576"/>
      <c r="Z30" s="576"/>
      <c r="AA30" s="98"/>
      <c r="AB30" s="98"/>
      <c r="AC30" s="98"/>
      <c r="AD30" s="98"/>
      <c r="AE30" s="98"/>
      <c r="AF30" s="98"/>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x14ac:dyDescent="0.2">
      <c r="A31" s="576"/>
      <c r="B31" s="98"/>
      <c r="C31" s="98"/>
      <c r="D31" s="98"/>
      <c r="E31" s="98"/>
      <c r="F31" s="98"/>
      <c r="G31" s="576"/>
      <c r="H31" s="576"/>
      <c r="I31" s="576"/>
      <c r="J31" s="576"/>
      <c r="K31" s="576"/>
      <c r="L31" s="576"/>
      <c r="M31" s="576"/>
      <c r="N31" s="576"/>
      <c r="O31" s="576"/>
      <c r="P31" s="576"/>
      <c r="Q31" s="576"/>
      <c r="R31" s="576"/>
      <c r="S31" s="576"/>
      <c r="T31" s="576"/>
      <c r="U31" s="576"/>
      <c r="V31" s="576"/>
      <c r="W31" s="576"/>
      <c r="X31" s="576"/>
      <c r="Y31" s="576"/>
      <c r="Z31" s="576"/>
      <c r="AA31" s="98"/>
      <c r="AB31" s="98"/>
      <c r="AC31" s="98"/>
      <c r="AD31" s="98"/>
      <c r="AE31" s="98"/>
      <c r="AF31" s="98"/>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x14ac:dyDescent="0.2">
      <c r="A32" s="576"/>
      <c r="B32" s="98"/>
      <c r="C32" s="98"/>
      <c r="D32" s="98"/>
      <c r="E32" s="98"/>
      <c r="F32" s="98"/>
      <c r="G32" s="576"/>
      <c r="H32" s="576"/>
      <c r="I32" s="576"/>
      <c r="J32" s="576"/>
      <c r="K32" s="576"/>
      <c r="L32" s="576"/>
      <c r="M32" s="576"/>
      <c r="N32" s="576"/>
      <c r="O32" s="576"/>
      <c r="P32" s="576"/>
      <c r="Q32" s="576"/>
      <c r="R32" s="576"/>
      <c r="S32" s="576"/>
      <c r="T32" s="576"/>
      <c r="U32" s="576"/>
      <c r="V32" s="576"/>
      <c r="W32" s="576"/>
      <c r="X32" s="576"/>
      <c r="Y32" s="576"/>
      <c r="Z32" s="576"/>
      <c r="AA32" s="98"/>
      <c r="AB32" s="98"/>
      <c r="AC32" s="98"/>
      <c r="AD32" s="98"/>
      <c r="AE32" s="98"/>
      <c r="AF32" s="98"/>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x14ac:dyDescent="0.2">
      <c r="A33" s="576"/>
      <c r="B33" s="98"/>
      <c r="C33" s="98"/>
      <c r="D33" s="98"/>
      <c r="E33" s="98"/>
      <c r="F33" s="98"/>
      <c r="G33" s="576"/>
      <c r="H33" s="576"/>
      <c r="I33" s="576"/>
      <c r="J33" s="576"/>
      <c r="K33" s="576"/>
      <c r="L33" s="576"/>
      <c r="M33" s="576"/>
      <c r="N33" s="576"/>
      <c r="O33" s="576"/>
      <c r="P33" s="576"/>
      <c r="Q33" s="576"/>
      <c r="R33" s="576"/>
      <c r="S33" s="576"/>
      <c r="T33" s="576"/>
      <c r="U33" s="576"/>
      <c r="V33" s="576"/>
      <c r="W33" s="576"/>
      <c r="X33" s="576"/>
      <c r="Y33" s="576"/>
      <c r="Z33" s="576"/>
      <c r="AA33" s="98"/>
      <c r="AB33" s="98"/>
      <c r="AC33" s="98"/>
      <c r="AD33" s="98"/>
      <c r="AE33" s="98"/>
      <c r="AF33" s="98"/>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x14ac:dyDescent="0.2">
      <c r="A34" s="576"/>
      <c r="B34" s="98"/>
      <c r="C34" s="98"/>
      <c r="D34" s="98"/>
      <c r="E34" s="98"/>
      <c r="F34" s="98"/>
      <c r="G34" s="576"/>
      <c r="H34" s="576"/>
      <c r="I34" s="576"/>
      <c r="J34" s="576"/>
      <c r="K34" s="576"/>
      <c r="L34" s="576"/>
      <c r="M34" s="576"/>
      <c r="N34" s="576"/>
      <c r="O34" s="576"/>
      <c r="P34" s="576"/>
      <c r="Q34" s="576"/>
      <c r="R34" s="576"/>
      <c r="S34" s="576"/>
      <c r="T34" s="576"/>
      <c r="U34" s="576"/>
      <c r="V34" s="576"/>
      <c r="W34" s="576"/>
      <c r="X34" s="576"/>
      <c r="Y34" s="576"/>
      <c r="Z34" s="576"/>
      <c r="AA34" s="98"/>
      <c r="AB34" s="98"/>
      <c r="AC34" s="98"/>
      <c r="AD34" s="98"/>
      <c r="AE34" s="98"/>
      <c r="AF34" s="98"/>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x14ac:dyDescent="0.2">
      <c r="A35" s="576"/>
      <c r="B35" s="98"/>
      <c r="C35" s="98"/>
      <c r="D35" s="98"/>
      <c r="E35" s="98"/>
      <c r="F35" s="98"/>
      <c r="G35" s="576"/>
      <c r="H35" s="576"/>
      <c r="I35" s="576"/>
      <c r="J35" s="576"/>
      <c r="K35" s="576"/>
      <c r="L35" s="576"/>
      <c r="M35" s="576"/>
      <c r="N35" s="576"/>
      <c r="O35" s="576"/>
      <c r="P35" s="576"/>
      <c r="Q35" s="576"/>
      <c r="R35" s="576"/>
      <c r="S35" s="576"/>
      <c r="T35" s="576"/>
      <c r="U35" s="576"/>
      <c r="V35" s="576"/>
      <c r="W35" s="576"/>
      <c r="X35" s="576"/>
      <c r="Y35" s="576"/>
      <c r="Z35" s="576"/>
      <c r="AA35" s="98"/>
      <c r="AB35" s="98"/>
      <c r="AC35" s="98"/>
      <c r="AD35" s="98"/>
      <c r="AE35" s="98"/>
      <c r="AF35" s="98"/>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x14ac:dyDescent="0.2">
      <c r="A36" s="576"/>
      <c r="B36" s="98"/>
      <c r="C36" s="98"/>
      <c r="D36" s="98"/>
      <c r="E36" s="98"/>
      <c r="F36" s="98"/>
      <c r="G36" s="576"/>
      <c r="H36" s="576"/>
      <c r="I36" s="576"/>
      <c r="J36" s="576"/>
      <c r="K36" s="576"/>
      <c r="L36" s="576"/>
      <c r="M36" s="576"/>
      <c r="N36" s="576"/>
      <c r="O36" s="576"/>
      <c r="P36" s="576"/>
      <c r="Q36" s="576"/>
      <c r="R36" s="576"/>
      <c r="S36" s="576"/>
      <c r="T36" s="576"/>
      <c r="U36" s="576"/>
      <c r="V36" s="576"/>
      <c r="W36" s="576"/>
      <c r="X36" s="576"/>
      <c r="Y36" s="576"/>
      <c r="Z36" s="576"/>
      <c r="AA36" s="98"/>
      <c r="AB36" s="98"/>
      <c r="AC36" s="98"/>
      <c r="AD36" s="98"/>
      <c r="AE36" s="98"/>
      <c r="AF36" s="98"/>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6"/>
      <c r="B82" s="98"/>
      <c r="C82" s="98"/>
      <c r="D82" s="98"/>
      <c r="E82" s="98"/>
      <c r="F82" s="98"/>
      <c r="G82" s="576"/>
      <c r="H82" s="576"/>
      <c r="I82" s="576"/>
      <c r="J82" s="576"/>
      <c r="K82" s="576"/>
      <c r="L82" s="576"/>
      <c r="M82" s="576"/>
      <c r="N82" s="576"/>
      <c r="O82" s="576"/>
      <c r="P82" s="576"/>
      <c r="Q82" s="576"/>
      <c r="R82" s="576"/>
      <c r="S82" s="576"/>
      <c r="T82" s="576"/>
      <c r="U82" s="576"/>
      <c r="V82" s="576"/>
      <c r="W82" s="576"/>
      <c r="X82" s="576"/>
      <c r="Y82" s="576"/>
      <c r="Z82" s="576"/>
      <c r="AA82" s="98"/>
      <c r="AB82" s="98"/>
      <c r="AC82" s="98"/>
      <c r="AD82" s="98"/>
      <c r="AE82" s="98"/>
      <c r="AF82" s="98"/>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7"/>
    </row>
    <row r="83" spans="1:57" x14ac:dyDescent="0.2">
      <c r="A83" s="576"/>
      <c r="B83" s="98"/>
      <c r="C83" s="98"/>
      <c r="D83" s="98"/>
      <c r="E83" s="98"/>
      <c r="F83" s="98"/>
      <c r="G83" s="576"/>
      <c r="H83" s="576"/>
      <c r="I83" s="576"/>
      <c r="J83" s="576"/>
      <c r="K83" s="576"/>
      <c r="L83" s="576"/>
      <c r="M83" s="576"/>
      <c r="N83" s="576"/>
      <c r="O83" s="576"/>
      <c r="P83" s="576"/>
      <c r="Q83" s="576"/>
      <c r="R83" s="576"/>
      <c r="S83" s="576"/>
      <c r="T83" s="576"/>
      <c r="U83" s="576"/>
      <c r="V83" s="576"/>
      <c r="W83" s="576"/>
      <c r="X83" s="576"/>
      <c r="Y83" s="576"/>
      <c r="Z83" s="576"/>
      <c r="AA83" s="98"/>
      <c r="AB83" s="98"/>
      <c r="AC83" s="98"/>
      <c r="AD83" s="98"/>
      <c r="AE83" s="98"/>
      <c r="AF83" s="98"/>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7"/>
    </row>
    <row r="84" spans="1:57" x14ac:dyDescent="0.2">
      <c r="A84" s="576"/>
      <c r="B84" s="98"/>
      <c r="C84" s="98"/>
      <c r="D84" s="98"/>
      <c r="E84" s="98"/>
      <c r="F84" s="98"/>
      <c r="G84" s="576"/>
      <c r="H84" s="576"/>
      <c r="I84" s="576"/>
      <c r="J84" s="576"/>
      <c r="K84" s="576"/>
      <c r="L84" s="576"/>
      <c r="M84" s="576"/>
      <c r="N84" s="576"/>
      <c r="O84" s="576"/>
      <c r="P84" s="576"/>
      <c r="Q84" s="576"/>
      <c r="R84" s="576"/>
      <c r="S84" s="576"/>
      <c r="T84" s="576"/>
      <c r="U84" s="576"/>
      <c r="V84" s="576"/>
      <c r="W84" s="576"/>
      <c r="X84" s="576"/>
      <c r="Y84" s="576"/>
      <c r="Z84" s="576"/>
      <c r="AA84" s="98"/>
      <c r="AB84" s="98"/>
      <c r="AC84" s="98"/>
      <c r="AD84" s="98"/>
      <c r="AE84" s="98"/>
      <c r="AF84" s="98"/>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7"/>
    </row>
    <row r="85" spans="1:57" x14ac:dyDescent="0.2">
      <c r="A85" s="576"/>
      <c r="B85" s="98"/>
      <c r="C85" s="98"/>
      <c r="D85" s="98"/>
      <c r="E85" s="98"/>
      <c r="F85" s="98"/>
      <c r="G85" s="576"/>
      <c r="H85" s="576"/>
      <c r="I85" s="576"/>
      <c r="J85" s="576"/>
      <c r="K85" s="576"/>
      <c r="L85" s="576"/>
      <c r="M85" s="576"/>
      <c r="N85" s="576"/>
      <c r="O85" s="576"/>
      <c r="P85" s="576"/>
      <c r="Q85" s="576"/>
      <c r="R85" s="576"/>
      <c r="S85" s="576"/>
      <c r="T85" s="576"/>
      <c r="U85" s="576"/>
      <c r="V85" s="576"/>
      <c r="W85" s="576"/>
      <c r="X85" s="576"/>
      <c r="Y85" s="576"/>
      <c r="Z85" s="576"/>
      <c r="AA85" s="98"/>
      <c r="AB85" s="98"/>
      <c r="AC85" s="98"/>
      <c r="AD85" s="98"/>
      <c r="AE85" s="98"/>
      <c r="AF85" s="98"/>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7"/>
    </row>
    <row r="86" spans="1:57" x14ac:dyDescent="0.2">
      <c r="A86" s="576"/>
      <c r="B86" s="98"/>
      <c r="C86" s="98"/>
      <c r="D86" s="98"/>
      <c r="E86" s="98"/>
      <c r="F86" s="98"/>
      <c r="G86" s="576"/>
      <c r="H86" s="576"/>
      <c r="I86" s="576"/>
      <c r="J86" s="576"/>
      <c r="K86" s="576"/>
      <c r="L86" s="576"/>
      <c r="M86" s="576"/>
      <c r="N86" s="576"/>
      <c r="O86" s="576"/>
      <c r="P86" s="576"/>
      <c r="Q86" s="576"/>
      <c r="R86" s="576"/>
      <c r="S86" s="576"/>
      <c r="T86" s="576"/>
      <c r="U86" s="576"/>
      <c r="V86" s="576"/>
      <c r="W86" s="576"/>
      <c r="X86" s="576"/>
      <c r="Y86" s="576"/>
      <c r="Z86" s="576"/>
      <c r="AA86" s="98"/>
      <c r="AB86" s="98"/>
      <c r="AC86" s="98"/>
      <c r="AD86" s="98"/>
      <c r="AE86" s="98"/>
      <c r="AF86" s="98"/>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7"/>
    </row>
    <row r="87" spans="1:57" x14ac:dyDescent="0.2">
      <c r="A87" s="576"/>
      <c r="B87" s="98"/>
      <c r="C87" s="98"/>
      <c r="D87" s="98"/>
      <c r="E87" s="98"/>
      <c r="F87" s="98"/>
      <c r="G87" s="576"/>
      <c r="H87" s="576"/>
      <c r="I87" s="576"/>
      <c r="J87" s="576"/>
      <c r="K87" s="576"/>
      <c r="L87" s="576"/>
      <c r="M87" s="576"/>
      <c r="N87" s="576"/>
      <c r="O87" s="576"/>
      <c r="P87" s="576"/>
      <c r="Q87" s="576"/>
      <c r="R87" s="576"/>
      <c r="S87" s="576"/>
      <c r="T87" s="576"/>
      <c r="U87" s="576"/>
      <c r="V87" s="576"/>
      <c r="W87" s="576"/>
      <c r="X87" s="576"/>
      <c r="Y87" s="576"/>
      <c r="Z87" s="576"/>
      <c r="AA87" s="98"/>
      <c r="AB87" s="98"/>
      <c r="AC87" s="98"/>
      <c r="AD87" s="98"/>
      <c r="AE87" s="98"/>
      <c r="AF87" s="98"/>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7"/>
    </row>
    <row r="88" spans="1:57" x14ac:dyDescent="0.2">
      <c r="A88" s="576"/>
      <c r="B88" s="98"/>
      <c r="C88" s="98"/>
      <c r="D88" s="98"/>
      <c r="E88" s="98"/>
      <c r="F88" s="98"/>
      <c r="G88" s="576"/>
      <c r="H88" s="576"/>
      <c r="I88" s="576"/>
      <c r="J88" s="576"/>
      <c r="K88" s="576"/>
      <c r="L88" s="576"/>
      <c r="M88" s="576"/>
      <c r="N88" s="576"/>
      <c r="O88" s="576"/>
      <c r="P88" s="576"/>
      <c r="Q88" s="576"/>
      <c r="R88" s="576"/>
      <c r="S88" s="576"/>
      <c r="T88" s="576"/>
      <c r="U88" s="576"/>
      <c r="V88" s="576"/>
      <c r="W88" s="576"/>
      <c r="X88" s="576"/>
      <c r="Y88" s="576"/>
      <c r="Z88" s="576"/>
      <c r="AA88" s="98"/>
      <c r="AB88" s="98"/>
      <c r="AC88" s="98"/>
      <c r="AD88" s="98"/>
      <c r="AE88" s="98"/>
      <c r="AF88" s="98"/>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7"/>
    </row>
    <row r="89" spans="1:57" x14ac:dyDescent="0.2">
      <c r="A89" s="576"/>
      <c r="B89" s="98"/>
      <c r="C89" s="98"/>
      <c r="D89" s="98"/>
      <c r="E89" s="98"/>
      <c r="F89" s="98"/>
      <c r="G89" s="576"/>
      <c r="H89" s="576"/>
      <c r="I89" s="576"/>
      <c r="J89" s="576"/>
      <c r="K89" s="576"/>
      <c r="L89" s="576"/>
      <c r="M89" s="576"/>
      <c r="N89" s="576"/>
      <c r="O89" s="576"/>
      <c r="P89" s="576"/>
      <c r="Q89" s="576"/>
      <c r="R89" s="576"/>
      <c r="S89" s="576"/>
      <c r="T89" s="576"/>
      <c r="U89" s="576"/>
      <c r="V89" s="576"/>
      <c r="W89" s="576"/>
      <c r="X89" s="576"/>
      <c r="Y89" s="576"/>
      <c r="Z89" s="576"/>
      <c r="AA89" s="98"/>
      <c r="AB89" s="98"/>
      <c r="AC89" s="98"/>
      <c r="AD89" s="98"/>
      <c r="AE89" s="98"/>
      <c r="AF89" s="98"/>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7"/>
    </row>
    <row r="90" spans="1:57" x14ac:dyDescent="0.2">
      <c r="A90" s="579"/>
      <c r="B90" s="100"/>
      <c r="C90" s="100"/>
      <c r="D90" s="100"/>
      <c r="E90" s="100"/>
      <c r="F90" s="100"/>
      <c r="G90" s="579"/>
      <c r="H90" s="579"/>
      <c r="I90" s="579"/>
      <c r="J90" s="579"/>
      <c r="K90" s="579"/>
      <c r="L90" s="579"/>
      <c r="M90" s="579"/>
      <c r="N90" s="579"/>
      <c r="O90" s="579"/>
      <c r="P90" s="579"/>
      <c r="Q90" s="579"/>
      <c r="R90" s="579"/>
      <c r="S90" s="579"/>
      <c r="T90" s="579"/>
      <c r="U90" s="579"/>
      <c r="V90" s="579"/>
      <c r="W90" s="579"/>
      <c r="X90" s="579"/>
      <c r="Y90" s="579"/>
      <c r="Z90" s="579"/>
      <c r="AA90" s="100"/>
      <c r="AB90" s="100"/>
      <c r="AC90" s="100"/>
      <c r="AD90" s="100"/>
      <c r="AE90" s="100"/>
      <c r="AF90" s="100"/>
      <c r="AG90" s="579"/>
      <c r="AH90" s="579"/>
      <c r="AI90" s="579"/>
      <c r="AJ90" s="579"/>
      <c r="AK90" s="579"/>
      <c r="AL90" s="579"/>
      <c r="AM90" s="579"/>
      <c r="AN90" s="579"/>
      <c r="AO90" s="579"/>
      <c r="AP90" s="579"/>
      <c r="AQ90" s="579"/>
      <c r="AR90" s="579"/>
      <c r="AS90" s="579"/>
      <c r="AT90" s="579"/>
      <c r="AU90" s="579"/>
      <c r="AV90" s="579"/>
      <c r="AW90" s="579"/>
      <c r="AX90" s="579"/>
      <c r="AY90" s="579"/>
      <c r="AZ90" s="579"/>
      <c r="BA90" s="579"/>
      <c r="BB90" s="579"/>
      <c r="BC90" s="579"/>
      <c r="BD90" s="579"/>
      <c r="BE90" s="580"/>
    </row>
  </sheetData>
  <sheetProtection algorithmName="SHA-512" hashValue="koKTALuiS2RZgYsHMozN0mEwO1uJwNZ1uKaFOk+4nPcytbzvWvnGT5lgwRqQyHWH0x2OyyFHg3vOjSumlcwX7Q==" saltValue="FXu9KcsIo/UMuGtuyX6IEw==" spinCount="100000" sheet="1" selectLockedCells="1"/>
  <dataConsolidate link="1"/>
  <mergeCells count="4">
    <mergeCell ref="D10:D13"/>
    <mergeCell ref="E10:E13"/>
    <mergeCell ref="D14:D18"/>
    <mergeCell ref="E14:E18"/>
  </mergeCells>
  <conditionalFormatting sqref="G4:Z4">
    <cfRule type="notContainsBlanks" dxfId="28" priority="3">
      <formula>LEN(TRIM(G4))&gt;0</formula>
    </cfRule>
  </conditionalFormatting>
  <conditionalFormatting sqref="G7:Z22">
    <cfRule type="notContainsBlanks" dxfId="27" priority="1">
      <formula>LEN(TRIM(G7))&gt;0</formula>
    </cfRule>
  </conditionalFormatting>
  <dataValidations count="1">
    <dataValidation type="whole" allowBlank="1" showInputMessage="1" showErrorMessage="1" errorTitle="Attenzione" error="Il servizio deve avere una durata minima di 1 mese e una durata massima di 48 mesi" sqref="G4:Z4" xr:uid="{00000000-0002-0000-0C00-000000000000}">
      <formula1>1</formula1>
      <formula2>48</formula2>
    </dataValidation>
  </dataValidations>
  <pageMargins left="0.7" right="0.7" top="0.75" bottom="0.75" header="0.3" footer="0.3"/>
  <pageSetup paperSize="8" orientation="landscape" r:id="rId1"/>
  <ignoredErrors>
    <ignoredError sqref="AE7 AE8:AE2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9"/>
  <dimension ref="A1:AW102"/>
  <sheetViews>
    <sheetView zoomScaleNormal="100" workbookViewId="0">
      <pane xSplit="6" ySplit="6" topLeftCell="G9" activePane="bottomRight" state="frozen"/>
      <selection activeCell="G4" sqref="G4:Z4"/>
      <selection pane="topRight" activeCell="G4" sqref="G4:Z4"/>
      <selection pane="bottomLeft" activeCell="G4" sqref="G4:Z4"/>
      <selection pane="bottomRight" activeCell="G17" sqref="G17"/>
    </sheetView>
  </sheetViews>
  <sheetFormatPr defaultColWidth="9.140625" defaultRowHeight="11.25" x14ac:dyDescent="0.2"/>
  <cols>
    <col min="1" max="1" width="0.5703125" style="573" customWidth="1"/>
    <col min="2" max="2" width="10.140625" style="99" customWidth="1"/>
    <col min="3" max="3" width="22.5703125" style="99" customWidth="1"/>
    <col min="4" max="4" width="9.85546875" style="99" bestFit="1" customWidth="1"/>
    <col min="5" max="5" width="29" style="99" customWidth="1"/>
    <col min="6" max="6" width="14.28515625" style="99" bestFit="1" customWidth="1"/>
    <col min="7" max="26" width="12.5703125" style="573" customWidth="1"/>
    <col min="27" max="27" width="12.42578125" style="99" bestFit="1" customWidth="1"/>
    <col min="28" max="28" width="8.425781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33" width="0.85546875" style="99" customWidth="1"/>
    <col min="34" max="34" width="42.140625" style="99" bestFit="1" customWidth="1"/>
    <col min="35" max="35" width="7.5703125" style="99" bestFit="1" customWidth="1"/>
    <col min="36" max="36" width="12.28515625" style="99" bestFit="1" customWidth="1"/>
    <col min="37" max="37" width="7.5703125" style="99" bestFit="1" customWidth="1"/>
    <col min="38" max="38" width="12.28515625" style="99" bestFit="1" customWidth="1"/>
    <col min="39" max="39" width="0.85546875" style="99" customWidth="1"/>
    <col min="40" max="40" width="41.42578125" style="99" bestFit="1" customWidth="1"/>
    <col min="41" max="41" width="7.5703125" style="99" bestFit="1" customWidth="1"/>
    <col min="42" max="42" width="12.28515625" style="99" bestFit="1" customWidth="1"/>
    <col min="43" max="43" width="7.5703125" style="99" bestFit="1" customWidth="1"/>
    <col min="44" max="44" width="12.28515625" style="99" bestFit="1" customWidth="1"/>
    <col min="45" max="16384" width="9.140625" style="573"/>
  </cols>
  <sheetData>
    <row r="1" spans="1:49" ht="12" thickBot="1" x14ac:dyDescent="0.25"/>
    <row r="2" spans="1:49" s="118" customFormat="1" ht="12.75" thickBot="1" x14ac:dyDescent="0.25">
      <c r="G2" s="148" t="s">
        <v>308</v>
      </c>
      <c r="H2" s="148" t="s">
        <v>309</v>
      </c>
      <c r="I2" s="148" t="s">
        <v>310</v>
      </c>
      <c r="J2" s="148" t="s">
        <v>311</v>
      </c>
      <c r="K2" s="148" t="s">
        <v>312</v>
      </c>
      <c r="L2" s="148" t="s">
        <v>313</v>
      </c>
      <c r="M2" s="148" t="s">
        <v>314</v>
      </c>
      <c r="N2" s="148" t="s">
        <v>315</v>
      </c>
      <c r="O2" s="148" t="s">
        <v>316</v>
      </c>
      <c r="P2" s="148" t="s">
        <v>317</v>
      </c>
      <c r="Q2" s="148" t="s">
        <v>318</v>
      </c>
      <c r="R2" s="148" t="s">
        <v>319</v>
      </c>
      <c r="S2" s="148" t="s">
        <v>320</v>
      </c>
      <c r="T2" s="148" t="s">
        <v>321</v>
      </c>
      <c r="U2" s="148" t="s">
        <v>322</v>
      </c>
      <c r="V2" s="148" t="s">
        <v>323</v>
      </c>
      <c r="W2" s="148" t="s">
        <v>324</v>
      </c>
      <c r="X2" s="148" t="s">
        <v>325</v>
      </c>
      <c r="Y2" s="148" t="s">
        <v>326</v>
      </c>
      <c r="Z2" s="148" t="s">
        <v>327</v>
      </c>
    </row>
    <row r="3" spans="1:49" s="119" customFormat="1" ht="24.6" customHeight="1" thickBot="1" x14ac:dyDescent="0.3">
      <c r="F3" s="124" t="s">
        <v>1170</v>
      </c>
      <c r="G3" s="488" t="str">
        <f>IF('Elenco immobili'!$C$4="","",'Elenco immobili'!$C$4)</f>
        <v>Sede ICE-AGID</v>
      </c>
      <c r="H3" s="488" t="str">
        <f>IF('Elenco immobili'!$C$5="","",'Elenco immobili'!$C$5)</f>
        <v/>
      </c>
      <c r="I3" s="488" t="str">
        <f>IF('Elenco immobili'!$C$6="","",'Elenco immobili'!$C$6)</f>
        <v/>
      </c>
      <c r="J3" s="488" t="str">
        <f>IF('Elenco immobili'!$C$7="","",'Elenco immobili'!$C$7)</f>
        <v/>
      </c>
      <c r="K3" s="488" t="str">
        <f>IF('Elenco immobili'!$C$8="","",'Elenco immobili'!$C$8)</f>
        <v/>
      </c>
      <c r="L3" s="488" t="str">
        <f>IF('Elenco immobili'!$C$9="","",'Elenco immobili'!$C$9)</f>
        <v/>
      </c>
      <c r="M3" s="488" t="str">
        <f>IF('Elenco immobili'!$C$10="","",'Elenco immobili'!$C$10)</f>
        <v/>
      </c>
      <c r="N3" s="488" t="str">
        <f>IF('Elenco immobili'!$C$11="","",'Elenco immobili'!$C$11)</f>
        <v/>
      </c>
      <c r="O3" s="488" t="str">
        <f>IF('Elenco immobili'!$C$12="","",'Elenco immobili'!$C$12)</f>
        <v/>
      </c>
      <c r="P3" s="488" t="str">
        <f>IF('Elenco immobili'!$C$13="","",'Elenco immobili'!$C$13)</f>
        <v/>
      </c>
      <c r="Q3" s="488" t="str">
        <f>IF('Elenco immobili'!$C$14="","",'Elenco immobili'!$C$14)</f>
        <v/>
      </c>
      <c r="R3" s="488" t="str">
        <f>IF('Elenco immobili'!$C$15="","",'Elenco immobili'!$C$15)</f>
        <v/>
      </c>
      <c r="S3" s="488" t="str">
        <f>IF('Elenco immobili'!$C$16="","",'Elenco immobili'!$C$16)</f>
        <v/>
      </c>
      <c r="T3" s="488" t="str">
        <f>IF('Elenco immobili'!$C$17="","",'Elenco immobili'!$C$17)</f>
        <v/>
      </c>
      <c r="U3" s="488" t="str">
        <f>IF('Elenco immobili'!$C$18="","",'Elenco immobili'!$C$18)</f>
        <v/>
      </c>
      <c r="V3" s="488" t="str">
        <f>IF('Elenco immobili'!$C$19="","",'Elenco immobili'!$C$19)</f>
        <v/>
      </c>
      <c r="W3" s="488" t="str">
        <f>IF('Elenco immobili'!$C$20="","",'Elenco immobili'!$C$20)</f>
        <v/>
      </c>
      <c r="X3" s="488" t="str">
        <f>IF('Elenco immobili'!$C$21="","",'Elenco immobili'!$C$21)</f>
        <v/>
      </c>
      <c r="Y3" s="488" t="str">
        <f>IF('Elenco immobili'!$C$22="","",'Elenco immobili'!$C$22)</f>
        <v/>
      </c>
      <c r="Z3" s="488" t="str">
        <f>IF('Elenco immobili'!$C$23="","",'Elenco immobili'!$C$23)</f>
        <v/>
      </c>
    </row>
    <row r="4" spans="1:49" ht="13.5" thickBot="1" x14ac:dyDescent="0.25">
      <c r="B4" s="105" t="s">
        <v>332</v>
      </c>
      <c r="F4" s="125" t="s">
        <v>328</v>
      </c>
      <c r="G4" s="574">
        <v>48</v>
      </c>
      <c r="H4" s="574"/>
      <c r="I4" s="574"/>
      <c r="J4" s="574"/>
      <c r="K4" s="574"/>
      <c r="L4" s="574"/>
      <c r="M4" s="574"/>
      <c r="N4" s="574"/>
      <c r="O4" s="574"/>
      <c r="P4" s="574"/>
      <c r="Q4" s="574"/>
      <c r="R4" s="574"/>
      <c r="S4" s="574"/>
      <c r="T4" s="574"/>
      <c r="U4" s="574"/>
      <c r="V4" s="574"/>
      <c r="W4" s="574"/>
      <c r="X4" s="574"/>
      <c r="Y4" s="574"/>
      <c r="Z4" s="574"/>
      <c r="AH4" s="105" t="s">
        <v>437</v>
      </c>
      <c r="AN4" s="105" t="s">
        <v>438</v>
      </c>
    </row>
    <row r="5" spans="1:49"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49" s="99" customFormat="1" ht="24" customHeight="1" thickBot="1" x14ac:dyDescent="0.25">
      <c r="A6" s="101"/>
      <c r="B6" s="121" t="s">
        <v>250</v>
      </c>
      <c r="C6" s="122" t="s">
        <v>251</v>
      </c>
      <c r="D6" s="122" t="s">
        <v>252</v>
      </c>
      <c r="E6" s="122" t="s">
        <v>253</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1171</v>
      </c>
      <c r="AB6" s="128" t="s">
        <v>51</v>
      </c>
      <c r="AC6" s="128" t="s">
        <v>143</v>
      </c>
      <c r="AD6" s="128" t="s">
        <v>1172</v>
      </c>
      <c r="AE6" s="128" t="s">
        <v>160</v>
      </c>
      <c r="AF6" s="128" t="s">
        <v>1173</v>
      </c>
      <c r="AG6" s="96"/>
      <c r="AH6" s="128" t="s">
        <v>51</v>
      </c>
      <c r="AI6" s="128" t="s">
        <v>143</v>
      </c>
      <c r="AJ6" s="128" t="s">
        <v>1172</v>
      </c>
      <c r="AK6" s="128" t="s">
        <v>160</v>
      </c>
      <c r="AL6" s="128" t="s">
        <v>1173</v>
      </c>
      <c r="AM6" s="96"/>
      <c r="AN6" s="128" t="s">
        <v>51</v>
      </c>
      <c r="AO6" s="128" t="s">
        <v>143</v>
      </c>
      <c r="AP6" s="128" t="s">
        <v>1172</v>
      </c>
      <c r="AQ6" s="128" t="s">
        <v>160</v>
      </c>
      <c r="AR6" s="128" t="s">
        <v>1173</v>
      </c>
      <c r="AS6" s="98"/>
      <c r="AT6" s="98"/>
      <c r="AU6" s="98"/>
      <c r="AV6" s="98"/>
      <c r="AW6" s="96"/>
    </row>
    <row r="7" spans="1:49" ht="45" x14ac:dyDescent="0.2">
      <c r="A7" s="575"/>
      <c r="B7" s="203" t="s">
        <v>334</v>
      </c>
      <c r="C7" s="537" t="s">
        <v>335</v>
      </c>
      <c r="D7" s="531" t="s">
        <v>336</v>
      </c>
      <c r="E7" s="204" t="s">
        <v>409</v>
      </c>
      <c r="F7" s="205" t="s">
        <v>410</v>
      </c>
      <c r="G7" s="853"/>
      <c r="H7" s="457"/>
      <c r="I7" s="457"/>
      <c r="J7" s="457"/>
      <c r="K7" s="457"/>
      <c r="L7" s="457"/>
      <c r="M7" s="457"/>
      <c r="N7" s="457"/>
      <c r="O7" s="457"/>
      <c r="P7" s="457"/>
      <c r="Q7" s="457"/>
      <c r="R7" s="457"/>
      <c r="S7" s="457"/>
      <c r="T7" s="457"/>
      <c r="U7" s="457"/>
      <c r="V7" s="457"/>
      <c r="W7" s="457"/>
      <c r="X7" s="457"/>
      <c r="Y7" s="457"/>
      <c r="Z7" s="457"/>
      <c r="AA7" s="130">
        <v>60.198</v>
      </c>
      <c r="AB7" s="589" t="s">
        <v>34</v>
      </c>
      <c r="AC7" s="170">
        <f>'Ribassi PE'!$K$4</f>
        <v>0.67</v>
      </c>
      <c r="AD7" s="171">
        <f>ROUND($AA7*(1-AC7),3)</f>
        <v>19.864999999999998</v>
      </c>
      <c r="AE7" s="172">
        <f>'Ribassi PE'!$M$4</f>
        <v>0.66500000000000004</v>
      </c>
      <c r="AF7" s="173">
        <f>ROUND($AA7*(1-AE7),3)</f>
        <v>20.166</v>
      </c>
      <c r="AG7" s="96"/>
      <c r="AH7" s="589" t="s">
        <v>34</v>
      </c>
      <c r="AI7" s="170">
        <f>'Ribassi PE'!$K$4</f>
        <v>0.67</v>
      </c>
      <c r="AJ7" s="171">
        <f>ROUND($AA7*(1-AI7),3)</f>
        <v>19.864999999999998</v>
      </c>
      <c r="AK7" s="172">
        <f>'Ribassi PE'!$M$4</f>
        <v>0.66500000000000004</v>
      </c>
      <c r="AL7" s="173">
        <f>ROUND($AA7*(1-AK7),3)</f>
        <v>20.166</v>
      </c>
      <c r="AM7" s="96"/>
      <c r="AN7" s="590"/>
      <c r="AO7" s="231"/>
      <c r="AP7" s="232"/>
      <c r="AQ7" s="233"/>
      <c r="AR7" s="234"/>
      <c r="AS7" s="576"/>
      <c r="AT7" s="576"/>
      <c r="AU7" s="576"/>
      <c r="AV7" s="576"/>
      <c r="AW7" s="577"/>
    </row>
    <row r="8" spans="1:49" ht="56.25" x14ac:dyDescent="0.2">
      <c r="A8" s="575"/>
      <c r="B8" s="206" t="s">
        <v>337</v>
      </c>
      <c r="C8" s="536" t="s">
        <v>338</v>
      </c>
      <c r="D8" s="529" t="s">
        <v>339</v>
      </c>
      <c r="E8" s="530" t="s">
        <v>411</v>
      </c>
      <c r="F8" s="207" t="s">
        <v>412</v>
      </c>
      <c r="G8" s="854">
        <v>2</v>
      </c>
      <c r="H8" s="458"/>
      <c r="I8" s="458"/>
      <c r="J8" s="458"/>
      <c r="K8" s="458"/>
      <c r="L8" s="458"/>
      <c r="M8" s="458"/>
      <c r="N8" s="458"/>
      <c r="O8" s="458"/>
      <c r="P8" s="458"/>
      <c r="Q8" s="458"/>
      <c r="R8" s="458"/>
      <c r="S8" s="458"/>
      <c r="T8" s="458"/>
      <c r="U8" s="458"/>
      <c r="V8" s="458"/>
      <c r="W8" s="458"/>
      <c r="X8" s="458"/>
      <c r="Y8" s="458"/>
      <c r="Z8" s="458"/>
      <c r="AA8" s="164">
        <v>907.33100000000002</v>
      </c>
      <c r="AB8" s="591" t="s">
        <v>34</v>
      </c>
      <c r="AC8" s="213">
        <f>'Ribassi PE'!$K$4</f>
        <v>0.67</v>
      </c>
      <c r="AD8" s="175">
        <f t="shared" ref="AD8:AD34" si="0">ROUND($AA8*(1-AC8),3)</f>
        <v>299.41899999999998</v>
      </c>
      <c r="AE8" s="174">
        <f>'Ribassi PE'!$M$4</f>
        <v>0.66500000000000004</v>
      </c>
      <c r="AF8" s="176">
        <f t="shared" ref="AF8:AF34" si="1">ROUND($AA8*(1-AE8),3)</f>
        <v>303.95600000000002</v>
      </c>
      <c r="AG8" s="96"/>
      <c r="AH8" s="591" t="s">
        <v>34</v>
      </c>
      <c r="AI8" s="213">
        <f>'Ribassi PE'!$K$4</f>
        <v>0.67</v>
      </c>
      <c r="AJ8" s="175">
        <f t="shared" ref="AJ8:AJ20" si="2">ROUND($AA8*(1-AI8),3)</f>
        <v>299.41899999999998</v>
      </c>
      <c r="AK8" s="174">
        <f>'Ribassi PE'!$M$4</f>
        <v>0.66500000000000004</v>
      </c>
      <c r="AL8" s="176">
        <f t="shared" ref="AL8:AL20" si="3">ROUND($AA8*(1-AK8),3)</f>
        <v>303.95600000000002</v>
      </c>
      <c r="AM8" s="96"/>
      <c r="AN8" s="592"/>
      <c r="AO8" s="235"/>
      <c r="AP8" s="236"/>
      <c r="AQ8" s="237"/>
      <c r="AR8" s="238"/>
      <c r="AS8" s="576"/>
      <c r="AT8" s="576"/>
      <c r="AU8" s="576"/>
      <c r="AV8" s="576"/>
      <c r="AW8" s="577"/>
    </row>
    <row r="9" spans="1:49" ht="22.5" x14ac:dyDescent="0.2">
      <c r="A9" s="575"/>
      <c r="B9" s="206" t="s">
        <v>340</v>
      </c>
      <c r="C9" s="536" t="s">
        <v>341</v>
      </c>
      <c r="D9" s="958" t="s">
        <v>342</v>
      </c>
      <c r="E9" s="959" t="s">
        <v>413</v>
      </c>
      <c r="F9" s="207" t="s">
        <v>414</v>
      </c>
      <c r="G9" s="854">
        <v>1</v>
      </c>
      <c r="H9" s="458"/>
      <c r="I9" s="458"/>
      <c r="J9" s="458"/>
      <c r="K9" s="458"/>
      <c r="L9" s="458"/>
      <c r="M9" s="458"/>
      <c r="N9" s="458"/>
      <c r="O9" s="458"/>
      <c r="P9" s="458"/>
      <c r="Q9" s="458"/>
      <c r="R9" s="458"/>
      <c r="S9" s="458"/>
      <c r="T9" s="458"/>
      <c r="U9" s="458"/>
      <c r="V9" s="458"/>
      <c r="W9" s="458"/>
      <c r="X9" s="458"/>
      <c r="Y9" s="458"/>
      <c r="Z9" s="458"/>
      <c r="AA9" s="164">
        <v>238.71700000000001</v>
      </c>
      <c r="AB9" s="591" t="s">
        <v>1261</v>
      </c>
      <c r="AC9" s="174">
        <f>('Ribassi PE'!$K$4+'Ribassi PE'!$K$5)/2</f>
        <v>0.67</v>
      </c>
      <c r="AD9" s="177">
        <f t="shared" si="0"/>
        <v>78.777000000000001</v>
      </c>
      <c r="AE9" s="174">
        <f>('Ribassi PE'!$M$4+'Ribassi PE'!$M$5)/2</f>
        <v>0.59000000000000008</v>
      </c>
      <c r="AF9" s="178">
        <f t="shared" si="1"/>
        <v>97.873999999999995</v>
      </c>
      <c r="AG9" s="96"/>
      <c r="AH9" s="591" t="s">
        <v>34</v>
      </c>
      <c r="AI9" s="213">
        <f>'Ribassi PE'!$K$4</f>
        <v>0.67</v>
      </c>
      <c r="AJ9" s="177">
        <f t="shared" si="2"/>
        <v>78.777000000000001</v>
      </c>
      <c r="AK9" s="174">
        <f>'Ribassi PE'!$M$4</f>
        <v>0.66500000000000004</v>
      </c>
      <c r="AL9" s="178">
        <f t="shared" si="3"/>
        <v>79.97</v>
      </c>
      <c r="AM9" s="96"/>
      <c r="AN9" s="591" t="s">
        <v>35</v>
      </c>
      <c r="AO9" s="239">
        <f>'Ribassi PE'!$K$5</f>
        <v>0.67</v>
      </c>
      <c r="AP9" s="240">
        <f t="shared" ref="AP9:AP34" si="4">ROUND($AA9*(1-AO9),3)</f>
        <v>78.777000000000001</v>
      </c>
      <c r="AQ9" s="241">
        <f>'Ribassi PE'!$M$5</f>
        <v>0.51500000000000001</v>
      </c>
      <c r="AR9" s="242">
        <f t="shared" ref="AR9:AR34" si="5">ROUND($AA9*(1-AQ9),3)</f>
        <v>115.77800000000001</v>
      </c>
      <c r="AS9" s="576"/>
      <c r="AT9" s="576"/>
      <c r="AU9" s="576"/>
      <c r="AV9" s="576"/>
      <c r="AW9" s="577"/>
    </row>
    <row r="10" spans="1:49" ht="33.75" x14ac:dyDescent="0.2">
      <c r="A10" s="575"/>
      <c r="B10" s="206" t="s">
        <v>343</v>
      </c>
      <c r="C10" s="536" t="s">
        <v>344</v>
      </c>
      <c r="D10" s="958"/>
      <c r="E10" s="959"/>
      <c r="F10" s="207" t="s">
        <v>414</v>
      </c>
      <c r="G10" s="854"/>
      <c r="H10" s="458"/>
      <c r="I10" s="458"/>
      <c r="J10" s="458"/>
      <c r="K10" s="458"/>
      <c r="L10" s="458"/>
      <c r="M10" s="458"/>
      <c r="N10" s="458"/>
      <c r="O10" s="458"/>
      <c r="P10" s="458"/>
      <c r="Q10" s="458"/>
      <c r="R10" s="458"/>
      <c r="S10" s="458"/>
      <c r="T10" s="458"/>
      <c r="U10" s="458"/>
      <c r="V10" s="458"/>
      <c r="W10" s="458"/>
      <c r="X10" s="458"/>
      <c r="Y10" s="458"/>
      <c r="Z10" s="458"/>
      <c r="AA10" s="134">
        <v>334.20299999999997</v>
      </c>
      <c r="AB10" s="591" t="s">
        <v>1261</v>
      </c>
      <c r="AC10" s="174">
        <f>('Ribassi PE'!$K$4+'Ribassi PE'!$K$5)/2</f>
        <v>0.67</v>
      </c>
      <c r="AD10" s="177">
        <f t="shared" si="0"/>
        <v>110.28700000000001</v>
      </c>
      <c r="AE10" s="174">
        <f>('Ribassi PE'!$M$4+'Ribassi PE'!$M$5)/2</f>
        <v>0.59000000000000008</v>
      </c>
      <c r="AF10" s="178">
        <f t="shared" si="1"/>
        <v>137.023</v>
      </c>
      <c r="AG10" s="96"/>
      <c r="AH10" s="591" t="s">
        <v>34</v>
      </c>
      <c r="AI10" s="213">
        <f>'Ribassi PE'!$K$4</f>
        <v>0.67</v>
      </c>
      <c r="AJ10" s="177">
        <f t="shared" si="2"/>
        <v>110.28700000000001</v>
      </c>
      <c r="AK10" s="174">
        <f>'Ribassi PE'!$M$4</f>
        <v>0.66500000000000004</v>
      </c>
      <c r="AL10" s="178">
        <f t="shared" si="3"/>
        <v>111.958</v>
      </c>
      <c r="AM10" s="96"/>
      <c r="AN10" s="591" t="s">
        <v>35</v>
      </c>
      <c r="AO10" s="213">
        <f>'Ribassi PE'!$K$5</f>
        <v>0.67</v>
      </c>
      <c r="AP10" s="177">
        <f t="shared" si="4"/>
        <v>110.28700000000001</v>
      </c>
      <c r="AQ10" s="174">
        <f>'Ribassi PE'!$M$5</f>
        <v>0.51500000000000001</v>
      </c>
      <c r="AR10" s="178">
        <f t="shared" si="5"/>
        <v>162.08799999999999</v>
      </c>
      <c r="AS10" s="576"/>
      <c r="AT10" s="576"/>
      <c r="AU10" s="576"/>
      <c r="AV10" s="576"/>
      <c r="AW10" s="577"/>
    </row>
    <row r="11" spans="1:49" ht="33.75" x14ac:dyDescent="0.2">
      <c r="A11" s="575"/>
      <c r="B11" s="206" t="s">
        <v>345</v>
      </c>
      <c r="C11" s="536" t="s">
        <v>346</v>
      </c>
      <c r="D11" s="958"/>
      <c r="E11" s="959"/>
      <c r="F11" s="207" t="s">
        <v>414</v>
      </c>
      <c r="G11" s="854"/>
      <c r="H11" s="458"/>
      <c r="I11" s="458"/>
      <c r="J11" s="458"/>
      <c r="K11" s="458"/>
      <c r="L11" s="458"/>
      <c r="M11" s="458"/>
      <c r="N11" s="458"/>
      <c r="O11" s="458"/>
      <c r="P11" s="458"/>
      <c r="Q11" s="458"/>
      <c r="R11" s="458"/>
      <c r="S11" s="458"/>
      <c r="T11" s="458"/>
      <c r="U11" s="458"/>
      <c r="V11" s="458"/>
      <c r="W11" s="458"/>
      <c r="X11" s="458"/>
      <c r="Y11" s="458"/>
      <c r="Z11" s="458"/>
      <c r="AA11" s="134">
        <v>477.43400000000003</v>
      </c>
      <c r="AB11" s="591" t="s">
        <v>1261</v>
      </c>
      <c r="AC11" s="174">
        <f>('Ribassi PE'!$K$4+'Ribassi PE'!$K$5)/2</f>
        <v>0.67</v>
      </c>
      <c r="AD11" s="177">
        <f t="shared" si="0"/>
        <v>157.553</v>
      </c>
      <c r="AE11" s="174">
        <f>('Ribassi PE'!$M$4+'Ribassi PE'!$M$5)/2</f>
        <v>0.59000000000000008</v>
      </c>
      <c r="AF11" s="178">
        <f t="shared" si="1"/>
        <v>195.74799999999999</v>
      </c>
      <c r="AG11" s="96"/>
      <c r="AH11" s="591" t="s">
        <v>34</v>
      </c>
      <c r="AI11" s="213">
        <f>'Ribassi PE'!$K$4</f>
        <v>0.67</v>
      </c>
      <c r="AJ11" s="177">
        <f t="shared" si="2"/>
        <v>157.553</v>
      </c>
      <c r="AK11" s="174">
        <f>'Ribassi PE'!$M$4</f>
        <v>0.66500000000000004</v>
      </c>
      <c r="AL11" s="178">
        <f t="shared" si="3"/>
        <v>159.94</v>
      </c>
      <c r="AM11" s="96"/>
      <c r="AN11" s="591" t="s">
        <v>35</v>
      </c>
      <c r="AO11" s="213">
        <f>'Ribassi PE'!$K$5</f>
        <v>0.67</v>
      </c>
      <c r="AP11" s="177">
        <f t="shared" si="4"/>
        <v>157.553</v>
      </c>
      <c r="AQ11" s="174">
        <f>'Ribassi PE'!$M$5</f>
        <v>0.51500000000000001</v>
      </c>
      <c r="AR11" s="178">
        <f t="shared" si="5"/>
        <v>231.55500000000001</v>
      </c>
      <c r="AS11" s="576"/>
      <c r="AT11" s="576"/>
      <c r="AU11" s="576"/>
      <c r="AV11" s="576"/>
      <c r="AW11" s="577"/>
    </row>
    <row r="12" spans="1:49" ht="135" x14ac:dyDescent="0.2">
      <c r="A12" s="575"/>
      <c r="B12" s="206" t="s">
        <v>347</v>
      </c>
      <c r="C12" s="536" t="s">
        <v>348</v>
      </c>
      <c r="D12" s="529" t="s">
        <v>349</v>
      </c>
      <c r="E12" s="530" t="s">
        <v>415</v>
      </c>
      <c r="F12" s="207" t="s">
        <v>416</v>
      </c>
      <c r="G12" s="854">
        <v>26290</v>
      </c>
      <c r="H12" s="458"/>
      <c r="I12" s="458"/>
      <c r="J12" s="458"/>
      <c r="K12" s="458"/>
      <c r="L12" s="458"/>
      <c r="M12" s="458"/>
      <c r="N12" s="458"/>
      <c r="O12" s="458"/>
      <c r="P12" s="458"/>
      <c r="Q12" s="458"/>
      <c r="R12" s="458"/>
      <c r="S12" s="458"/>
      <c r="T12" s="458"/>
      <c r="U12" s="458"/>
      <c r="V12" s="458"/>
      <c r="W12" s="458"/>
      <c r="X12" s="458"/>
      <c r="Y12" s="458"/>
      <c r="Z12" s="458"/>
      <c r="AA12" s="134">
        <v>3.4849999999999999</v>
      </c>
      <c r="AB12" s="591" t="s">
        <v>1261</v>
      </c>
      <c r="AC12" s="174">
        <f>('Ribassi PE'!$K$4+'Ribassi PE'!$K$5)/2</f>
        <v>0.67</v>
      </c>
      <c r="AD12" s="177">
        <f t="shared" si="0"/>
        <v>1.1499999999999999</v>
      </c>
      <c r="AE12" s="174">
        <f>('Ribassi PE'!$M$4+'Ribassi PE'!$M$5)/2</f>
        <v>0.59000000000000008</v>
      </c>
      <c r="AF12" s="178">
        <f t="shared" si="1"/>
        <v>1.429</v>
      </c>
      <c r="AG12" s="96"/>
      <c r="AH12" s="591" t="s">
        <v>34</v>
      </c>
      <c r="AI12" s="213">
        <f>'Ribassi PE'!$K$4</f>
        <v>0.67</v>
      </c>
      <c r="AJ12" s="177">
        <f t="shared" si="2"/>
        <v>1.1499999999999999</v>
      </c>
      <c r="AK12" s="174">
        <f>'Ribassi PE'!$M$4</f>
        <v>0.66500000000000004</v>
      </c>
      <c r="AL12" s="178">
        <f t="shared" si="3"/>
        <v>1.167</v>
      </c>
      <c r="AM12" s="96"/>
      <c r="AN12" s="591" t="s">
        <v>35</v>
      </c>
      <c r="AO12" s="213">
        <f>'Ribassi PE'!$K$5</f>
        <v>0.67</v>
      </c>
      <c r="AP12" s="177">
        <f t="shared" si="4"/>
        <v>1.1499999999999999</v>
      </c>
      <c r="AQ12" s="174">
        <f>'Ribassi PE'!$M$5</f>
        <v>0.51500000000000001</v>
      </c>
      <c r="AR12" s="178">
        <f t="shared" si="5"/>
        <v>1.69</v>
      </c>
      <c r="AS12" s="576"/>
      <c r="AT12" s="576"/>
      <c r="AU12" s="576"/>
      <c r="AV12" s="576"/>
      <c r="AW12" s="577"/>
    </row>
    <row r="13" spans="1:49" ht="56.25" x14ac:dyDescent="0.2">
      <c r="A13" s="575"/>
      <c r="B13" s="206" t="s">
        <v>350</v>
      </c>
      <c r="C13" s="536" t="s">
        <v>351</v>
      </c>
      <c r="D13" s="529" t="s">
        <v>352</v>
      </c>
      <c r="E13" s="530" t="s">
        <v>417</v>
      </c>
      <c r="F13" s="207" t="s">
        <v>410</v>
      </c>
      <c r="G13" s="856">
        <v>296</v>
      </c>
      <c r="H13" s="458"/>
      <c r="I13" s="458"/>
      <c r="J13" s="458"/>
      <c r="K13" s="458"/>
      <c r="L13" s="458"/>
      <c r="M13" s="458"/>
      <c r="N13" s="458"/>
      <c r="O13" s="458"/>
      <c r="P13" s="458"/>
      <c r="Q13" s="458"/>
      <c r="R13" s="458"/>
      <c r="S13" s="458"/>
      <c r="T13" s="458"/>
      <c r="U13" s="458"/>
      <c r="V13" s="458"/>
      <c r="W13" s="458"/>
      <c r="X13" s="458"/>
      <c r="Y13" s="458"/>
      <c r="Z13" s="458"/>
      <c r="AA13" s="164">
        <v>99.638000000000005</v>
      </c>
      <c r="AB13" s="591" t="s">
        <v>1261</v>
      </c>
      <c r="AC13" s="174">
        <f>('Ribassi PE'!$K$4+'Ribassi PE'!$K$5)/2</f>
        <v>0.67</v>
      </c>
      <c r="AD13" s="177">
        <f t="shared" si="0"/>
        <v>32.881</v>
      </c>
      <c r="AE13" s="174">
        <f>('Ribassi PE'!$M$4+'Ribassi PE'!$M$5)/2</f>
        <v>0.59000000000000008</v>
      </c>
      <c r="AF13" s="178">
        <f t="shared" si="1"/>
        <v>40.851999999999997</v>
      </c>
      <c r="AG13" s="96"/>
      <c r="AH13" s="591" t="s">
        <v>34</v>
      </c>
      <c r="AI13" s="213">
        <f>'Ribassi PE'!$K$4</f>
        <v>0.67</v>
      </c>
      <c r="AJ13" s="177">
        <f t="shared" si="2"/>
        <v>32.881</v>
      </c>
      <c r="AK13" s="174">
        <f>'Ribassi PE'!$M$4</f>
        <v>0.66500000000000004</v>
      </c>
      <c r="AL13" s="178">
        <f t="shared" si="3"/>
        <v>33.378999999999998</v>
      </c>
      <c r="AM13" s="96"/>
      <c r="AN13" s="591" t="s">
        <v>35</v>
      </c>
      <c r="AO13" s="213">
        <f>'Ribassi PE'!$K$5</f>
        <v>0.67</v>
      </c>
      <c r="AP13" s="177">
        <f t="shared" si="4"/>
        <v>32.881</v>
      </c>
      <c r="AQ13" s="174">
        <f>'Ribassi PE'!$M$5</f>
        <v>0.51500000000000001</v>
      </c>
      <c r="AR13" s="178">
        <f t="shared" si="5"/>
        <v>48.323999999999998</v>
      </c>
      <c r="AS13" s="576"/>
      <c r="AT13" s="576"/>
      <c r="AU13" s="576"/>
      <c r="AV13" s="576"/>
      <c r="AW13" s="577"/>
    </row>
    <row r="14" spans="1:49" ht="56.25" x14ac:dyDescent="0.2">
      <c r="A14" s="575"/>
      <c r="B14" s="206" t="s">
        <v>353</v>
      </c>
      <c r="C14" s="536" t="s">
        <v>354</v>
      </c>
      <c r="D14" s="529" t="s">
        <v>355</v>
      </c>
      <c r="E14" s="530" t="s">
        <v>418</v>
      </c>
      <c r="F14" s="207" t="s">
        <v>410</v>
      </c>
      <c r="G14" s="856">
        <v>168</v>
      </c>
      <c r="H14" s="458"/>
      <c r="I14" s="458"/>
      <c r="J14" s="458"/>
      <c r="K14" s="458"/>
      <c r="L14" s="458"/>
      <c r="M14" s="458"/>
      <c r="N14" s="458"/>
      <c r="O14" s="458"/>
      <c r="P14" s="458"/>
      <c r="Q14" s="458"/>
      <c r="R14" s="458"/>
      <c r="S14" s="458"/>
      <c r="T14" s="458"/>
      <c r="U14" s="458"/>
      <c r="V14" s="458"/>
      <c r="W14" s="458"/>
      <c r="X14" s="458"/>
      <c r="Y14" s="458"/>
      <c r="Z14" s="458"/>
      <c r="AA14" s="164">
        <v>132.851</v>
      </c>
      <c r="AB14" s="591" t="s">
        <v>1261</v>
      </c>
      <c r="AC14" s="174">
        <f>('Ribassi PE'!$K$4+'Ribassi PE'!$K$5)/2</f>
        <v>0.67</v>
      </c>
      <c r="AD14" s="177">
        <f t="shared" si="0"/>
        <v>43.841000000000001</v>
      </c>
      <c r="AE14" s="179">
        <f>('Ribassi PE'!$M$4+'Ribassi PE'!$M$5)/2</f>
        <v>0.59000000000000008</v>
      </c>
      <c r="AF14" s="178">
        <f t="shared" si="1"/>
        <v>54.469000000000001</v>
      </c>
      <c r="AG14" s="96"/>
      <c r="AH14" s="591" t="s">
        <v>34</v>
      </c>
      <c r="AI14" s="213">
        <f>'Ribassi PE'!$K$4</f>
        <v>0.67</v>
      </c>
      <c r="AJ14" s="177">
        <f t="shared" si="2"/>
        <v>43.841000000000001</v>
      </c>
      <c r="AK14" s="179">
        <f>'Ribassi PE'!$M$4</f>
        <v>0.66500000000000004</v>
      </c>
      <c r="AL14" s="178">
        <f t="shared" si="3"/>
        <v>44.505000000000003</v>
      </c>
      <c r="AM14" s="96"/>
      <c r="AN14" s="591" t="s">
        <v>35</v>
      </c>
      <c r="AO14" s="213">
        <f>'Ribassi PE'!$K$5</f>
        <v>0.67</v>
      </c>
      <c r="AP14" s="177">
        <f t="shared" si="4"/>
        <v>43.841000000000001</v>
      </c>
      <c r="AQ14" s="179">
        <f>'Ribassi PE'!$M$5</f>
        <v>0.51500000000000001</v>
      </c>
      <c r="AR14" s="178">
        <f t="shared" si="5"/>
        <v>64.433000000000007</v>
      </c>
      <c r="AS14" s="576"/>
      <c r="AT14" s="576"/>
      <c r="AU14" s="576"/>
      <c r="AV14" s="576"/>
      <c r="AW14" s="577"/>
    </row>
    <row r="15" spans="1:49" ht="45" x14ac:dyDescent="0.2">
      <c r="A15" s="575"/>
      <c r="B15" s="206" t="s">
        <v>356</v>
      </c>
      <c r="C15" s="536" t="s">
        <v>357</v>
      </c>
      <c r="D15" s="529" t="s">
        <v>358</v>
      </c>
      <c r="E15" s="530" t="s">
        <v>419</v>
      </c>
      <c r="F15" s="207" t="s">
        <v>410</v>
      </c>
      <c r="G15" s="854">
        <v>68</v>
      </c>
      <c r="H15" s="458"/>
      <c r="I15" s="458"/>
      <c r="J15" s="458"/>
      <c r="K15" s="458"/>
      <c r="L15" s="458"/>
      <c r="M15" s="458"/>
      <c r="N15" s="458"/>
      <c r="O15" s="458"/>
      <c r="P15" s="458"/>
      <c r="Q15" s="458"/>
      <c r="R15" s="458"/>
      <c r="S15" s="458"/>
      <c r="T15" s="458"/>
      <c r="U15" s="458"/>
      <c r="V15" s="458"/>
      <c r="W15" s="458"/>
      <c r="X15" s="458"/>
      <c r="Y15" s="458"/>
      <c r="Z15" s="458"/>
      <c r="AA15" s="164">
        <v>185.26499999999999</v>
      </c>
      <c r="AB15" s="591" t="s">
        <v>1261</v>
      </c>
      <c r="AC15" s="174">
        <f>('Ribassi PE'!$K$4+'Ribassi PE'!$K$5)/2</f>
        <v>0.67</v>
      </c>
      <c r="AD15" s="177">
        <f t="shared" si="0"/>
        <v>61.137</v>
      </c>
      <c r="AE15" s="174">
        <f>('Ribassi PE'!$M$4+'Ribassi PE'!$M$5)/2</f>
        <v>0.59000000000000008</v>
      </c>
      <c r="AF15" s="178">
        <f t="shared" si="1"/>
        <v>75.959000000000003</v>
      </c>
      <c r="AG15" s="96"/>
      <c r="AH15" s="591" t="s">
        <v>34</v>
      </c>
      <c r="AI15" s="213">
        <f>'Ribassi PE'!$K$4</f>
        <v>0.67</v>
      </c>
      <c r="AJ15" s="177">
        <f t="shared" si="2"/>
        <v>61.137</v>
      </c>
      <c r="AK15" s="174">
        <f>'Ribassi PE'!$M$4</f>
        <v>0.66500000000000004</v>
      </c>
      <c r="AL15" s="178">
        <f t="shared" si="3"/>
        <v>62.064</v>
      </c>
      <c r="AM15" s="96"/>
      <c r="AN15" s="591" t="s">
        <v>35</v>
      </c>
      <c r="AO15" s="213">
        <f>'Ribassi PE'!$K$5</f>
        <v>0.67</v>
      </c>
      <c r="AP15" s="177">
        <f t="shared" si="4"/>
        <v>61.137</v>
      </c>
      <c r="AQ15" s="174">
        <f>'Ribassi PE'!$M$5</f>
        <v>0.51500000000000001</v>
      </c>
      <c r="AR15" s="178">
        <f t="shared" si="5"/>
        <v>89.853999999999999</v>
      </c>
      <c r="AS15" s="576"/>
      <c r="AT15" s="576"/>
      <c r="AU15" s="576"/>
      <c r="AV15" s="576"/>
      <c r="AW15" s="577"/>
    </row>
    <row r="16" spans="1:49" ht="56.25" x14ac:dyDescent="0.2">
      <c r="A16" s="575"/>
      <c r="B16" s="206" t="s">
        <v>359</v>
      </c>
      <c r="C16" s="536" t="s">
        <v>360</v>
      </c>
      <c r="D16" s="529" t="s">
        <v>361</v>
      </c>
      <c r="E16" s="530" t="s">
        <v>420</v>
      </c>
      <c r="F16" s="207" t="s">
        <v>421</v>
      </c>
      <c r="G16" s="854">
        <v>5</v>
      </c>
      <c r="H16" s="458"/>
      <c r="I16" s="458"/>
      <c r="J16" s="458"/>
      <c r="K16" s="458"/>
      <c r="L16" s="458"/>
      <c r="M16" s="458"/>
      <c r="N16" s="458"/>
      <c r="O16" s="458"/>
      <c r="P16" s="458"/>
      <c r="Q16" s="458"/>
      <c r="R16" s="458"/>
      <c r="S16" s="458"/>
      <c r="T16" s="458"/>
      <c r="U16" s="458"/>
      <c r="V16" s="458"/>
      <c r="W16" s="458"/>
      <c r="X16" s="458"/>
      <c r="Y16" s="458"/>
      <c r="Z16" s="458"/>
      <c r="AA16" s="134">
        <v>1003.441</v>
      </c>
      <c r="AB16" s="591" t="s">
        <v>1261</v>
      </c>
      <c r="AC16" s="174">
        <f>('Ribassi PE'!$K$4+'Ribassi PE'!$K$5)/2</f>
        <v>0.67</v>
      </c>
      <c r="AD16" s="177">
        <f t="shared" si="0"/>
        <v>331.13600000000002</v>
      </c>
      <c r="AE16" s="174">
        <f>('Ribassi PE'!$M$4+'Ribassi PE'!$M$5)/2</f>
        <v>0.59000000000000008</v>
      </c>
      <c r="AF16" s="178">
        <f t="shared" si="1"/>
        <v>411.411</v>
      </c>
      <c r="AG16" s="96"/>
      <c r="AH16" s="591" t="s">
        <v>34</v>
      </c>
      <c r="AI16" s="213">
        <f>'Ribassi PE'!$K$4</f>
        <v>0.67</v>
      </c>
      <c r="AJ16" s="177">
        <f t="shared" si="2"/>
        <v>331.13600000000002</v>
      </c>
      <c r="AK16" s="174">
        <f>'Ribassi PE'!$M$4</f>
        <v>0.66500000000000004</v>
      </c>
      <c r="AL16" s="178">
        <f t="shared" si="3"/>
        <v>336.15300000000002</v>
      </c>
      <c r="AM16" s="96"/>
      <c r="AN16" s="591" t="s">
        <v>35</v>
      </c>
      <c r="AO16" s="213">
        <f>'Ribassi PE'!$K$5</f>
        <v>0.67</v>
      </c>
      <c r="AP16" s="177">
        <f t="shared" si="4"/>
        <v>331.13600000000002</v>
      </c>
      <c r="AQ16" s="174">
        <f>'Ribassi PE'!$M$5</f>
        <v>0.51500000000000001</v>
      </c>
      <c r="AR16" s="178">
        <f t="shared" si="5"/>
        <v>486.66899999999998</v>
      </c>
      <c r="AS16" s="576"/>
      <c r="AT16" s="576"/>
      <c r="AU16" s="576"/>
      <c r="AV16" s="576"/>
      <c r="AW16" s="577"/>
    </row>
    <row r="17" spans="1:49" ht="56.25" x14ac:dyDescent="0.2">
      <c r="A17" s="575"/>
      <c r="B17" s="206" t="s">
        <v>362</v>
      </c>
      <c r="C17" s="536" t="s">
        <v>363</v>
      </c>
      <c r="D17" s="529" t="s">
        <v>364</v>
      </c>
      <c r="E17" s="530" t="s">
        <v>422</v>
      </c>
      <c r="F17" s="207" t="s">
        <v>421</v>
      </c>
      <c r="G17" s="854"/>
      <c r="H17" s="458"/>
      <c r="I17" s="458"/>
      <c r="J17" s="458"/>
      <c r="K17" s="458"/>
      <c r="L17" s="458"/>
      <c r="M17" s="458"/>
      <c r="N17" s="458"/>
      <c r="O17" s="458"/>
      <c r="P17" s="458"/>
      <c r="Q17" s="458"/>
      <c r="R17" s="458"/>
      <c r="S17" s="458"/>
      <c r="T17" s="458"/>
      <c r="U17" s="458"/>
      <c r="V17" s="458"/>
      <c r="W17" s="458"/>
      <c r="X17" s="458"/>
      <c r="Y17" s="458"/>
      <c r="Z17" s="458"/>
      <c r="AA17" s="134">
        <v>978.53099999999995</v>
      </c>
      <c r="AB17" s="591" t="s">
        <v>1261</v>
      </c>
      <c r="AC17" s="174">
        <f>('Ribassi PE'!$K$4+'Ribassi PE'!$K$5)/2</f>
        <v>0.67</v>
      </c>
      <c r="AD17" s="177">
        <f t="shared" si="0"/>
        <v>322.91500000000002</v>
      </c>
      <c r="AE17" s="174">
        <f>('Ribassi PE'!$M$4+'Ribassi PE'!$M$5)/2</f>
        <v>0.59000000000000008</v>
      </c>
      <c r="AF17" s="178">
        <f t="shared" si="1"/>
        <v>401.19799999999998</v>
      </c>
      <c r="AG17" s="96"/>
      <c r="AH17" s="591" t="s">
        <v>34</v>
      </c>
      <c r="AI17" s="213">
        <f>'Ribassi PE'!$K$4</f>
        <v>0.67</v>
      </c>
      <c r="AJ17" s="177">
        <f t="shared" si="2"/>
        <v>322.91500000000002</v>
      </c>
      <c r="AK17" s="174">
        <f>'Ribassi PE'!$M$4</f>
        <v>0.66500000000000004</v>
      </c>
      <c r="AL17" s="178">
        <f t="shared" si="3"/>
        <v>327.80799999999999</v>
      </c>
      <c r="AM17" s="96"/>
      <c r="AN17" s="591" t="s">
        <v>35</v>
      </c>
      <c r="AO17" s="213">
        <f>'Ribassi PE'!$K$5</f>
        <v>0.67</v>
      </c>
      <c r="AP17" s="177">
        <f t="shared" si="4"/>
        <v>322.91500000000002</v>
      </c>
      <c r="AQ17" s="174">
        <f>'Ribassi PE'!$M$5</f>
        <v>0.51500000000000001</v>
      </c>
      <c r="AR17" s="178">
        <f t="shared" si="5"/>
        <v>474.58800000000002</v>
      </c>
      <c r="AS17" s="576"/>
      <c r="AT17" s="576"/>
      <c r="AU17" s="576"/>
      <c r="AV17" s="576"/>
      <c r="AW17" s="577"/>
    </row>
    <row r="18" spans="1:49" ht="56.25" x14ac:dyDescent="0.2">
      <c r="A18" s="575"/>
      <c r="B18" s="206" t="s">
        <v>365</v>
      </c>
      <c r="C18" s="536" t="s">
        <v>366</v>
      </c>
      <c r="D18" s="529" t="s">
        <v>367</v>
      </c>
      <c r="E18" s="530" t="s">
        <v>423</v>
      </c>
      <c r="F18" s="207" t="s">
        <v>421</v>
      </c>
      <c r="G18" s="854"/>
      <c r="H18" s="458"/>
      <c r="I18" s="458"/>
      <c r="J18" s="458"/>
      <c r="K18" s="458"/>
      <c r="L18" s="458"/>
      <c r="M18" s="458"/>
      <c r="N18" s="458"/>
      <c r="O18" s="458"/>
      <c r="P18" s="458"/>
      <c r="Q18" s="458"/>
      <c r="R18" s="458"/>
      <c r="S18" s="458"/>
      <c r="T18" s="458"/>
      <c r="U18" s="458"/>
      <c r="V18" s="458"/>
      <c r="W18" s="458"/>
      <c r="X18" s="458"/>
      <c r="Y18" s="458"/>
      <c r="Z18" s="458"/>
      <c r="AA18" s="134">
        <v>1832.6179999999999</v>
      </c>
      <c r="AB18" s="591" t="s">
        <v>1261</v>
      </c>
      <c r="AC18" s="174">
        <f>('Ribassi PE'!$K$4+'Ribassi PE'!$K$5)/2</f>
        <v>0.67</v>
      </c>
      <c r="AD18" s="177">
        <f t="shared" si="0"/>
        <v>604.76400000000001</v>
      </c>
      <c r="AE18" s="174">
        <f>('Ribassi PE'!$M$4+'Ribassi PE'!$M$5)/2</f>
        <v>0.59000000000000008</v>
      </c>
      <c r="AF18" s="178">
        <f t="shared" si="1"/>
        <v>751.37300000000005</v>
      </c>
      <c r="AG18" s="96"/>
      <c r="AH18" s="591" t="s">
        <v>34</v>
      </c>
      <c r="AI18" s="213">
        <f>'Ribassi PE'!$K$4</f>
        <v>0.67</v>
      </c>
      <c r="AJ18" s="177">
        <f t="shared" si="2"/>
        <v>604.76400000000001</v>
      </c>
      <c r="AK18" s="174">
        <f>'Ribassi PE'!$M$4</f>
        <v>0.66500000000000004</v>
      </c>
      <c r="AL18" s="178">
        <f t="shared" si="3"/>
        <v>613.92700000000002</v>
      </c>
      <c r="AM18" s="96"/>
      <c r="AN18" s="591" t="s">
        <v>35</v>
      </c>
      <c r="AO18" s="213">
        <f>'Ribassi PE'!$K$5</f>
        <v>0.67</v>
      </c>
      <c r="AP18" s="177">
        <f t="shared" si="4"/>
        <v>604.76400000000001</v>
      </c>
      <c r="AQ18" s="174">
        <f>'Ribassi PE'!$M$5</f>
        <v>0.51500000000000001</v>
      </c>
      <c r="AR18" s="178">
        <f t="shared" si="5"/>
        <v>888.82</v>
      </c>
      <c r="AS18" s="576"/>
      <c r="AT18" s="576"/>
      <c r="AU18" s="576"/>
      <c r="AV18" s="576"/>
      <c r="AW18" s="577"/>
    </row>
    <row r="19" spans="1:49" ht="56.25" x14ac:dyDescent="0.2">
      <c r="A19" s="575"/>
      <c r="B19" s="206" t="s">
        <v>368</v>
      </c>
      <c r="C19" s="536" t="s">
        <v>369</v>
      </c>
      <c r="D19" s="529" t="s">
        <v>370</v>
      </c>
      <c r="E19" s="530" t="s">
        <v>424</v>
      </c>
      <c r="F19" s="207" t="s">
        <v>306</v>
      </c>
      <c r="G19" s="854"/>
      <c r="H19" s="458"/>
      <c r="I19" s="458"/>
      <c r="J19" s="458"/>
      <c r="K19" s="458"/>
      <c r="L19" s="458"/>
      <c r="M19" s="458"/>
      <c r="N19" s="458"/>
      <c r="O19" s="458"/>
      <c r="P19" s="458"/>
      <c r="Q19" s="458"/>
      <c r="R19" s="458"/>
      <c r="S19" s="458"/>
      <c r="T19" s="458"/>
      <c r="U19" s="458"/>
      <c r="V19" s="458"/>
      <c r="W19" s="458"/>
      <c r="X19" s="458"/>
      <c r="Y19" s="458"/>
      <c r="Z19" s="458"/>
      <c r="AA19" s="164">
        <v>23.738</v>
      </c>
      <c r="AB19" s="591" t="s">
        <v>1261</v>
      </c>
      <c r="AC19" s="174">
        <f>('Ribassi PE'!$K$4+'Ribassi PE'!$K$5)/2</f>
        <v>0.67</v>
      </c>
      <c r="AD19" s="177">
        <f t="shared" si="0"/>
        <v>7.8339999999999996</v>
      </c>
      <c r="AE19" s="174">
        <f>('Ribassi PE'!$M$4+'Ribassi PE'!$M$5)/2</f>
        <v>0.59000000000000008</v>
      </c>
      <c r="AF19" s="178">
        <f t="shared" si="1"/>
        <v>9.7330000000000005</v>
      </c>
      <c r="AG19" s="96"/>
      <c r="AH19" s="591" t="s">
        <v>34</v>
      </c>
      <c r="AI19" s="213">
        <f>'Ribassi PE'!$K$4</f>
        <v>0.67</v>
      </c>
      <c r="AJ19" s="177">
        <f t="shared" si="2"/>
        <v>7.8339999999999996</v>
      </c>
      <c r="AK19" s="174">
        <f>'Ribassi PE'!$M$4</f>
        <v>0.66500000000000004</v>
      </c>
      <c r="AL19" s="178">
        <f t="shared" si="3"/>
        <v>7.952</v>
      </c>
      <c r="AM19" s="96"/>
      <c r="AN19" s="591" t="s">
        <v>35</v>
      </c>
      <c r="AO19" s="213">
        <f>'Ribassi PE'!$K$5</f>
        <v>0.67</v>
      </c>
      <c r="AP19" s="177">
        <f t="shared" si="4"/>
        <v>7.8339999999999996</v>
      </c>
      <c r="AQ19" s="174">
        <f>'Ribassi PE'!$M$5</f>
        <v>0.51500000000000001</v>
      </c>
      <c r="AR19" s="178">
        <f t="shared" si="5"/>
        <v>11.513</v>
      </c>
      <c r="AS19" s="576"/>
      <c r="AT19" s="576"/>
      <c r="AU19" s="576"/>
      <c r="AV19" s="576"/>
      <c r="AW19" s="577"/>
    </row>
    <row r="20" spans="1:49" ht="90.6" customHeight="1" x14ac:dyDescent="0.2">
      <c r="A20" s="575"/>
      <c r="B20" s="206" t="s">
        <v>371</v>
      </c>
      <c r="C20" s="536" t="s">
        <v>372</v>
      </c>
      <c r="D20" s="529" t="s">
        <v>373</v>
      </c>
      <c r="E20" s="530" t="s">
        <v>425</v>
      </c>
      <c r="F20" s="207" t="s">
        <v>410</v>
      </c>
      <c r="G20" s="854">
        <v>4</v>
      </c>
      <c r="H20" s="458"/>
      <c r="I20" s="458"/>
      <c r="J20" s="458"/>
      <c r="K20" s="458"/>
      <c r="L20" s="458"/>
      <c r="M20" s="458"/>
      <c r="N20" s="458"/>
      <c r="O20" s="458"/>
      <c r="P20" s="458"/>
      <c r="Q20" s="458"/>
      <c r="R20" s="458"/>
      <c r="S20" s="458"/>
      <c r="T20" s="458"/>
      <c r="U20" s="458"/>
      <c r="V20" s="458"/>
      <c r="W20" s="458"/>
      <c r="X20" s="458"/>
      <c r="Y20" s="458"/>
      <c r="Z20" s="458"/>
      <c r="AA20" s="164">
        <v>1817.9459999999999</v>
      </c>
      <c r="AB20" s="591" t="s">
        <v>1261</v>
      </c>
      <c r="AC20" s="174">
        <f>('Ribassi PE'!$K$4+'Ribassi PE'!$K$5)/2</f>
        <v>0.67</v>
      </c>
      <c r="AD20" s="177">
        <f t="shared" si="0"/>
        <v>599.92200000000003</v>
      </c>
      <c r="AE20" s="174">
        <f>('Ribassi PE'!$M$4+'Ribassi PE'!$M$5)/2</f>
        <v>0.59000000000000008</v>
      </c>
      <c r="AF20" s="178">
        <f t="shared" si="1"/>
        <v>745.35799999999995</v>
      </c>
      <c r="AG20" s="96"/>
      <c r="AH20" s="591" t="s">
        <v>34</v>
      </c>
      <c r="AI20" s="214">
        <f>'Ribassi PE'!$K$4</f>
        <v>0.67</v>
      </c>
      <c r="AJ20" s="215">
        <f t="shared" si="2"/>
        <v>599.92200000000003</v>
      </c>
      <c r="AK20" s="216">
        <f>'Ribassi PE'!$M$4</f>
        <v>0.66500000000000004</v>
      </c>
      <c r="AL20" s="217">
        <f t="shared" si="3"/>
        <v>609.01199999999994</v>
      </c>
      <c r="AM20" s="96"/>
      <c r="AN20" s="591" t="s">
        <v>35</v>
      </c>
      <c r="AO20" s="213">
        <f>'Ribassi PE'!$K$5</f>
        <v>0.67</v>
      </c>
      <c r="AP20" s="177">
        <f t="shared" si="4"/>
        <v>599.92200000000003</v>
      </c>
      <c r="AQ20" s="174">
        <f>'Ribassi PE'!$M$5</f>
        <v>0.51500000000000001</v>
      </c>
      <c r="AR20" s="178">
        <f t="shared" si="5"/>
        <v>881.70399999999995</v>
      </c>
      <c r="AS20" s="576"/>
      <c r="AT20" s="576"/>
      <c r="AU20" s="576"/>
      <c r="AV20" s="576"/>
      <c r="AW20" s="577"/>
    </row>
    <row r="21" spans="1:49" ht="22.5" x14ac:dyDescent="0.2">
      <c r="A21" s="575"/>
      <c r="B21" s="206" t="s">
        <v>374</v>
      </c>
      <c r="C21" s="536" t="s">
        <v>375</v>
      </c>
      <c r="D21" s="958" t="s">
        <v>376</v>
      </c>
      <c r="E21" s="959" t="s">
        <v>426</v>
      </c>
      <c r="F21" s="207" t="s">
        <v>427</v>
      </c>
      <c r="G21" s="854">
        <v>1</v>
      </c>
      <c r="H21" s="458"/>
      <c r="I21" s="458"/>
      <c r="J21" s="458"/>
      <c r="K21" s="458"/>
      <c r="L21" s="458"/>
      <c r="M21" s="458"/>
      <c r="N21" s="458"/>
      <c r="O21" s="458"/>
      <c r="P21" s="458"/>
      <c r="Q21" s="458"/>
      <c r="R21" s="458"/>
      <c r="S21" s="458"/>
      <c r="T21" s="458"/>
      <c r="U21" s="458"/>
      <c r="V21" s="458"/>
      <c r="W21" s="458"/>
      <c r="X21" s="458"/>
      <c r="Y21" s="458"/>
      <c r="Z21" s="458"/>
      <c r="AA21" s="164">
        <v>205.071</v>
      </c>
      <c r="AB21" s="591" t="s">
        <v>35</v>
      </c>
      <c r="AC21" s="174">
        <f>'Ribassi PE'!$K$5</f>
        <v>0.67</v>
      </c>
      <c r="AD21" s="177">
        <f t="shared" si="0"/>
        <v>67.673000000000002</v>
      </c>
      <c r="AE21" s="174">
        <f>'Ribassi PE'!$M$5</f>
        <v>0.51500000000000001</v>
      </c>
      <c r="AF21" s="178">
        <f t="shared" si="1"/>
        <v>99.459000000000003</v>
      </c>
      <c r="AG21" s="96"/>
      <c r="AH21" s="592"/>
      <c r="AI21" s="218"/>
      <c r="AJ21" s="219"/>
      <c r="AK21" s="218"/>
      <c r="AL21" s="129"/>
      <c r="AM21" s="96"/>
      <c r="AN21" s="591" t="s">
        <v>35</v>
      </c>
      <c r="AO21" s="174">
        <f>'Ribassi PE'!$K$5</f>
        <v>0.67</v>
      </c>
      <c r="AP21" s="177">
        <f t="shared" si="4"/>
        <v>67.673000000000002</v>
      </c>
      <c r="AQ21" s="174">
        <f>'Ribassi PE'!$M$5</f>
        <v>0.51500000000000001</v>
      </c>
      <c r="AR21" s="178">
        <f t="shared" si="5"/>
        <v>99.459000000000003</v>
      </c>
      <c r="AS21" s="576"/>
      <c r="AT21" s="576"/>
      <c r="AU21" s="576"/>
      <c r="AV21" s="576"/>
      <c r="AW21" s="577"/>
    </row>
    <row r="22" spans="1:49" ht="22.5" x14ac:dyDescent="0.2">
      <c r="A22" s="575"/>
      <c r="B22" s="206" t="s">
        <v>377</v>
      </c>
      <c r="C22" s="536" t="s">
        <v>378</v>
      </c>
      <c r="D22" s="958"/>
      <c r="E22" s="959"/>
      <c r="F22" s="207" t="s">
        <v>427</v>
      </c>
      <c r="G22" s="854"/>
      <c r="H22" s="458"/>
      <c r="I22" s="458"/>
      <c r="J22" s="458"/>
      <c r="K22" s="458"/>
      <c r="L22" s="458"/>
      <c r="M22" s="458"/>
      <c r="N22" s="458"/>
      <c r="O22" s="458"/>
      <c r="P22" s="458"/>
      <c r="Q22" s="458"/>
      <c r="R22" s="458"/>
      <c r="S22" s="458"/>
      <c r="T22" s="458"/>
      <c r="U22" s="458"/>
      <c r="V22" s="458"/>
      <c r="W22" s="458"/>
      <c r="X22" s="458"/>
      <c r="Y22" s="458"/>
      <c r="Z22" s="458"/>
      <c r="AA22" s="134">
        <v>1251.2729999999999</v>
      </c>
      <c r="AB22" s="591" t="s">
        <v>35</v>
      </c>
      <c r="AC22" s="174">
        <f>'Ribassi PE'!$K$5</f>
        <v>0.67</v>
      </c>
      <c r="AD22" s="177">
        <f t="shared" si="0"/>
        <v>412.92</v>
      </c>
      <c r="AE22" s="174">
        <f>'Ribassi PE'!$M$5</f>
        <v>0.51500000000000001</v>
      </c>
      <c r="AF22" s="178">
        <f t="shared" si="1"/>
        <v>606.86699999999996</v>
      </c>
      <c r="AG22" s="96"/>
      <c r="AH22" s="592"/>
      <c r="AI22" s="220"/>
      <c r="AJ22" s="221"/>
      <c r="AK22" s="220"/>
      <c r="AL22" s="222"/>
      <c r="AM22" s="96"/>
      <c r="AN22" s="591" t="s">
        <v>35</v>
      </c>
      <c r="AO22" s="174">
        <f>'Ribassi PE'!$K$5</f>
        <v>0.67</v>
      </c>
      <c r="AP22" s="177">
        <f t="shared" si="4"/>
        <v>412.92</v>
      </c>
      <c r="AQ22" s="174">
        <f>'Ribassi PE'!$M$5</f>
        <v>0.51500000000000001</v>
      </c>
      <c r="AR22" s="178">
        <f t="shared" si="5"/>
        <v>606.86699999999996</v>
      </c>
      <c r="AS22" s="576"/>
      <c r="AT22" s="576"/>
      <c r="AU22" s="576"/>
      <c r="AV22" s="576"/>
      <c r="AW22" s="577"/>
    </row>
    <row r="23" spans="1:49" ht="21" customHeight="1" x14ac:dyDescent="0.2">
      <c r="A23" s="575"/>
      <c r="B23" s="206" t="s">
        <v>379</v>
      </c>
      <c r="C23" s="536" t="s">
        <v>380</v>
      </c>
      <c r="D23" s="958"/>
      <c r="E23" s="959"/>
      <c r="F23" s="207" t="s">
        <v>427</v>
      </c>
      <c r="G23" s="854"/>
      <c r="H23" s="458"/>
      <c r="I23" s="458"/>
      <c r="J23" s="458"/>
      <c r="K23" s="458"/>
      <c r="L23" s="458"/>
      <c r="M23" s="458"/>
      <c r="N23" s="458"/>
      <c r="O23" s="458"/>
      <c r="P23" s="458"/>
      <c r="Q23" s="458"/>
      <c r="R23" s="458"/>
      <c r="S23" s="458"/>
      <c r="T23" s="458"/>
      <c r="U23" s="458"/>
      <c r="V23" s="458"/>
      <c r="W23" s="458"/>
      <c r="X23" s="458"/>
      <c r="Y23" s="458"/>
      <c r="Z23" s="458"/>
      <c r="AA23" s="134">
        <v>1501.528</v>
      </c>
      <c r="AB23" s="591" t="s">
        <v>35</v>
      </c>
      <c r="AC23" s="174">
        <f>'Ribassi PE'!$K$5</f>
        <v>0.67</v>
      </c>
      <c r="AD23" s="175">
        <f t="shared" si="0"/>
        <v>495.50400000000002</v>
      </c>
      <c r="AE23" s="174">
        <f>'Ribassi PE'!$M$5</f>
        <v>0.51500000000000001</v>
      </c>
      <c r="AF23" s="176">
        <f t="shared" si="1"/>
        <v>728.24099999999999</v>
      </c>
      <c r="AG23" s="96"/>
      <c r="AH23" s="592"/>
      <c r="AI23" s="220"/>
      <c r="AJ23" s="223"/>
      <c r="AK23" s="220"/>
      <c r="AL23" s="224"/>
      <c r="AM23" s="96"/>
      <c r="AN23" s="591" t="s">
        <v>35</v>
      </c>
      <c r="AO23" s="174">
        <f>'Ribassi PE'!$K$5</f>
        <v>0.67</v>
      </c>
      <c r="AP23" s="175">
        <f t="shared" si="4"/>
        <v>495.50400000000002</v>
      </c>
      <c r="AQ23" s="174">
        <f>'Ribassi PE'!$M$5</f>
        <v>0.51500000000000001</v>
      </c>
      <c r="AR23" s="176">
        <f t="shared" si="5"/>
        <v>728.24099999999999</v>
      </c>
      <c r="AS23" s="576"/>
      <c r="AT23" s="576"/>
      <c r="AU23" s="576"/>
      <c r="AV23" s="576"/>
      <c r="AW23" s="577"/>
    </row>
    <row r="24" spans="1:49" ht="22.5" x14ac:dyDescent="0.2">
      <c r="A24" s="575"/>
      <c r="B24" s="206" t="s">
        <v>381</v>
      </c>
      <c r="C24" s="536" t="s">
        <v>382</v>
      </c>
      <c r="D24" s="958"/>
      <c r="E24" s="959"/>
      <c r="F24" s="207" t="s">
        <v>427</v>
      </c>
      <c r="G24" s="854">
        <v>3</v>
      </c>
      <c r="H24" s="458"/>
      <c r="I24" s="458"/>
      <c r="J24" s="458"/>
      <c r="K24" s="458"/>
      <c r="L24" s="458"/>
      <c r="M24" s="458"/>
      <c r="N24" s="458"/>
      <c r="O24" s="458"/>
      <c r="P24" s="458"/>
      <c r="Q24" s="458"/>
      <c r="R24" s="458"/>
      <c r="S24" s="458"/>
      <c r="T24" s="458"/>
      <c r="U24" s="458"/>
      <c r="V24" s="458"/>
      <c r="W24" s="458"/>
      <c r="X24" s="458"/>
      <c r="Y24" s="458"/>
      <c r="Z24" s="458"/>
      <c r="AA24" s="134">
        <v>3128.183</v>
      </c>
      <c r="AB24" s="591" t="s">
        <v>35</v>
      </c>
      <c r="AC24" s="174">
        <f>'Ribassi PE'!$K$5</f>
        <v>0.67</v>
      </c>
      <c r="AD24" s="175">
        <f t="shared" si="0"/>
        <v>1032.3</v>
      </c>
      <c r="AE24" s="174">
        <f>'Ribassi PE'!$M$5</f>
        <v>0.51500000000000001</v>
      </c>
      <c r="AF24" s="176">
        <f t="shared" si="1"/>
        <v>1517.1690000000001</v>
      </c>
      <c r="AG24" s="96"/>
      <c r="AH24" s="592"/>
      <c r="AI24" s="220"/>
      <c r="AJ24" s="223"/>
      <c r="AK24" s="220"/>
      <c r="AL24" s="224"/>
      <c r="AM24" s="96"/>
      <c r="AN24" s="591" t="s">
        <v>35</v>
      </c>
      <c r="AO24" s="174">
        <f>'Ribassi PE'!$K$5</f>
        <v>0.67</v>
      </c>
      <c r="AP24" s="175">
        <f t="shared" si="4"/>
        <v>1032.3</v>
      </c>
      <c r="AQ24" s="174">
        <f>'Ribassi PE'!$M$5</f>
        <v>0.51500000000000001</v>
      </c>
      <c r="AR24" s="176">
        <f t="shared" si="5"/>
        <v>1517.1690000000001</v>
      </c>
      <c r="AS24" s="576"/>
      <c r="AT24" s="576"/>
      <c r="AU24" s="576"/>
      <c r="AV24" s="576"/>
      <c r="AW24" s="577"/>
    </row>
    <row r="25" spans="1:49" ht="22.5" x14ac:dyDescent="0.2">
      <c r="A25" s="575"/>
      <c r="B25" s="206" t="s">
        <v>383</v>
      </c>
      <c r="C25" s="536" t="s">
        <v>384</v>
      </c>
      <c r="D25" s="958"/>
      <c r="E25" s="959"/>
      <c r="F25" s="207" t="s">
        <v>427</v>
      </c>
      <c r="G25" s="854"/>
      <c r="H25" s="458"/>
      <c r="I25" s="458"/>
      <c r="J25" s="458"/>
      <c r="K25" s="458"/>
      <c r="L25" s="458"/>
      <c r="M25" s="458"/>
      <c r="N25" s="458"/>
      <c r="O25" s="458"/>
      <c r="P25" s="458"/>
      <c r="Q25" s="458"/>
      <c r="R25" s="458"/>
      <c r="S25" s="458"/>
      <c r="T25" s="458"/>
      <c r="U25" s="458"/>
      <c r="V25" s="458"/>
      <c r="W25" s="458"/>
      <c r="X25" s="458"/>
      <c r="Y25" s="458"/>
      <c r="Z25" s="458"/>
      <c r="AA25" s="164">
        <v>5005.0919999999996</v>
      </c>
      <c r="AB25" s="591" t="s">
        <v>35</v>
      </c>
      <c r="AC25" s="174">
        <f>'Ribassi PE'!$K$5</f>
        <v>0.67</v>
      </c>
      <c r="AD25" s="175">
        <f t="shared" si="0"/>
        <v>1651.68</v>
      </c>
      <c r="AE25" s="174">
        <f>'Ribassi PE'!$M$5</f>
        <v>0.51500000000000001</v>
      </c>
      <c r="AF25" s="176">
        <f t="shared" si="1"/>
        <v>2427.4699999999998</v>
      </c>
      <c r="AG25" s="96"/>
      <c r="AH25" s="592"/>
      <c r="AI25" s="220"/>
      <c r="AJ25" s="223"/>
      <c r="AK25" s="220"/>
      <c r="AL25" s="224"/>
      <c r="AM25" s="96"/>
      <c r="AN25" s="591" t="s">
        <v>35</v>
      </c>
      <c r="AO25" s="174">
        <f>'Ribassi PE'!$K$5</f>
        <v>0.67</v>
      </c>
      <c r="AP25" s="175">
        <f t="shared" si="4"/>
        <v>1651.68</v>
      </c>
      <c r="AQ25" s="174">
        <f>'Ribassi PE'!$M$5</f>
        <v>0.51500000000000001</v>
      </c>
      <c r="AR25" s="176">
        <f t="shared" si="5"/>
        <v>2427.4699999999998</v>
      </c>
      <c r="AS25" s="576"/>
      <c r="AT25" s="576"/>
      <c r="AU25" s="576"/>
      <c r="AV25" s="576"/>
      <c r="AW25" s="577"/>
    </row>
    <row r="26" spans="1:49" ht="22.5" x14ac:dyDescent="0.2">
      <c r="A26" s="575"/>
      <c r="B26" s="206" t="s">
        <v>385</v>
      </c>
      <c r="C26" s="536" t="s">
        <v>386</v>
      </c>
      <c r="D26" s="958"/>
      <c r="E26" s="959"/>
      <c r="F26" s="207" t="s">
        <v>427</v>
      </c>
      <c r="G26" s="854"/>
      <c r="H26" s="458"/>
      <c r="I26" s="458"/>
      <c r="J26" s="458"/>
      <c r="K26" s="458"/>
      <c r="L26" s="458"/>
      <c r="M26" s="458"/>
      <c r="N26" s="458"/>
      <c r="O26" s="458"/>
      <c r="P26" s="458"/>
      <c r="Q26" s="458"/>
      <c r="R26" s="458"/>
      <c r="S26" s="458"/>
      <c r="T26" s="458"/>
      <c r="U26" s="458"/>
      <c r="V26" s="458"/>
      <c r="W26" s="458"/>
      <c r="X26" s="458"/>
      <c r="Y26" s="458"/>
      <c r="Z26" s="458"/>
      <c r="AA26" s="134">
        <v>88.540999999999997</v>
      </c>
      <c r="AB26" s="591" t="s">
        <v>35</v>
      </c>
      <c r="AC26" s="179">
        <f>'Ribassi PE'!$K$5</f>
        <v>0.67</v>
      </c>
      <c r="AD26" s="180">
        <f t="shared" si="0"/>
        <v>29.219000000000001</v>
      </c>
      <c r="AE26" s="179">
        <f>'Ribassi PE'!$M$5</f>
        <v>0.51500000000000001</v>
      </c>
      <c r="AF26" s="181">
        <f t="shared" si="1"/>
        <v>42.942</v>
      </c>
      <c r="AG26" s="96"/>
      <c r="AH26" s="592"/>
      <c r="AI26" s="225"/>
      <c r="AJ26" s="226"/>
      <c r="AK26" s="225"/>
      <c r="AL26" s="227"/>
      <c r="AM26" s="96"/>
      <c r="AN26" s="591" t="s">
        <v>35</v>
      </c>
      <c r="AO26" s="179">
        <f>'Ribassi PE'!$K$5</f>
        <v>0.67</v>
      </c>
      <c r="AP26" s="180">
        <f t="shared" si="4"/>
        <v>29.219000000000001</v>
      </c>
      <c r="AQ26" s="179">
        <f>'Ribassi PE'!$M$5</f>
        <v>0.51500000000000001</v>
      </c>
      <c r="AR26" s="181">
        <f t="shared" si="5"/>
        <v>42.942</v>
      </c>
      <c r="AS26" s="576"/>
      <c r="AT26" s="576"/>
      <c r="AU26" s="576"/>
      <c r="AV26" s="576"/>
      <c r="AW26" s="577"/>
    </row>
    <row r="27" spans="1:49" ht="45" x14ac:dyDescent="0.2">
      <c r="A27" s="575"/>
      <c r="B27" s="206" t="s">
        <v>387</v>
      </c>
      <c r="C27" s="536" t="s">
        <v>388</v>
      </c>
      <c r="D27" s="529" t="s">
        <v>389</v>
      </c>
      <c r="E27" s="530" t="s">
        <v>428</v>
      </c>
      <c r="F27" s="207" t="s">
        <v>429</v>
      </c>
      <c r="G27" s="854"/>
      <c r="H27" s="458"/>
      <c r="I27" s="458"/>
      <c r="J27" s="458"/>
      <c r="K27" s="458"/>
      <c r="L27" s="458"/>
      <c r="M27" s="458"/>
      <c r="N27" s="458"/>
      <c r="O27" s="458"/>
      <c r="P27" s="458"/>
      <c r="Q27" s="458"/>
      <c r="R27" s="458"/>
      <c r="S27" s="458"/>
      <c r="T27" s="458"/>
      <c r="U27" s="458"/>
      <c r="V27" s="458"/>
      <c r="W27" s="458"/>
      <c r="X27" s="458"/>
      <c r="Y27" s="458"/>
      <c r="Z27" s="458"/>
      <c r="AA27" s="134">
        <v>159.83600000000001</v>
      </c>
      <c r="AB27" s="591" t="s">
        <v>35</v>
      </c>
      <c r="AC27" s="174">
        <f>'Ribassi PE'!$K$5</f>
        <v>0.67</v>
      </c>
      <c r="AD27" s="177">
        <f t="shared" si="0"/>
        <v>52.746000000000002</v>
      </c>
      <c r="AE27" s="174">
        <f>'Ribassi PE'!$M$5</f>
        <v>0.51500000000000001</v>
      </c>
      <c r="AF27" s="178">
        <f t="shared" si="1"/>
        <v>77.52</v>
      </c>
      <c r="AG27" s="96"/>
      <c r="AH27" s="592"/>
      <c r="AI27" s="220"/>
      <c r="AJ27" s="221"/>
      <c r="AK27" s="220"/>
      <c r="AL27" s="222"/>
      <c r="AM27" s="96"/>
      <c r="AN27" s="591" t="s">
        <v>35</v>
      </c>
      <c r="AO27" s="174">
        <f>'Ribassi PE'!$K$5</f>
        <v>0.67</v>
      </c>
      <c r="AP27" s="177">
        <f t="shared" si="4"/>
        <v>52.746000000000002</v>
      </c>
      <c r="AQ27" s="174">
        <f>'Ribassi PE'!$M$5</f>
        <v>0.51500000000000001</v>
      </c>
      <c r="AR27" s="178">
        <f t="shared" si="5"/>
        <v>77.52</v>
      </c>
      <c r="AS27" s="576"/>
      <c r="AT27" s="576"/>
      <c r="AU27" s="576"/>
      <c r="AV27" s="576"/>
      <c r="AW27" s="577"/>
    </row>
    <row r="28" spans="1:49" ht="67.5" x14ac:dyDescent="0.2">
      <c r="A28" s="575"/>
      <c r="B28" s="206" t="s">
        <v>390</v>
      </c>
      <c r="C28" s="536" t="s">
        <v>391</v>
      </c>
      <c r="D28" s="529" t="s">
        <v>392</v>
      </c>
      <c r="E28" s="530" t="s">
        <v>430</v>
      </c>
      <c r="F28" s="207" t="s">
        <v>431</v>
      </c>
      <c r="G28" s="854">
        <v>3</v>
      </c>
      <c r="H28" s="458"/>
      <c r="I28" s="458"/>
      <c r="J28" s="458"/>
      <c r="K28" s="458"/>
      <c r="L28" s="458"/>
      <c r="M28" s="458"/>
      <c r="N28" s="458"/>
      <c r="O28" s="458"/>
      <c r="P28" s="458"/>
      <c r="Q28" s="458"/>
      <c r="R28" s="458"/>
      <c r="S28" s="458"/>
      <c r="T28" s="458"/>
      <c r="U28" s="458"/>
      <c r="V28" s="458"/>
      <c r="W28" s="458"/>
      <c r="X28" s="458"/>
      <c r="Y28" s="458"/>
      <c r="Z28" s="458"/>
      <c r="AA28" s="134">
        <v>701.62</v>
      </c>
      <c r="AB28" s="591" t="s">
        <v>35</v>
      </c>
      <c r="AC28" s="174">
        <f>'Ribassi PE'!$K$5</f>
        <v>0.67</v>
      </c>
      <c r="AD28" s="177">
        <f t="shared" si="0"/>
        <v>231.535</v>
      </c>
      <c r="AE28" s="174">
        <f>'Ribassi PE'!$M$5</f>
        <v>0.51500000000000001</v>
      </c>
      <c r="AF28" s="178">
        <f t="shared" si="1"/>
        <v>340.286</v>
      </c>
      <c r="AG28" s="96"/>
      <c r="AH28" s="592"/>
      <c r="AI28" s="220"/>
      <c r="AJ28" s="221"/>
      <c r="AK28" s="220"/>
      <c r="AL28" s="222"/>
      <c r="AM28" s="96"/>
      <c r="AN28" s="591" t="s">
        <v>35</v>
      </c>
      <c r="AO28" s="174">
        <f>'Ribassi PE'!$K$5</f>
        <v>0.67</v>
      </c>
      <c r="AP28" s="177">
        <f t="shared" si="4"/>
        <v>231.535</v>
      </c>
      <c r="AQ28" s="174">
        <f>'Ribassi PE'!$M$5</f>
        <v>0.51500000000000001</v>
      </c>
      <c r="AR28" s="178">
        <f t="shared" si="5"/>
        <v>340.286</v>
      </c>
      <c r="AS28" s="576"/>
      <c r="AT28" s="576"/>
      <c r="AU28" s="576"/>
      <c r="AV28" s="576"/>
      <c r="AW28" s="577"/>
    </row>
    <row r="29" spans="1:49" ht="45" x14ac:dyDescent="0.2">
      <c r="A29" s="575"/>
      <c r="B29" s="206" t="s">
        <v>393</v>
      </c>
      <c r="C29" s="536" t="s">
        <v>394</v>
      </c>
      <c r="D29" s="529" t="s">
        <v>395</v>
      </c>
      <c r="E29" s="530" t="s">
        <v>432</v>
      </c>
      <c r="F29" s="207" t="s">
        <v>433</v>
      </c>
      <c r="G29" s="854">
        <v>1</v>
      </c>
      <c r="H29" s="458"/>
      <c r="I29" s="458"/>
      <c r="J29" s="458"/>
      <c r="K29" s="458"/>
      <c r="L29" s="458"/>
      <c r="M29" s="458"/>
      <c r="N29" s="458"/>
      <c r="O29" s="458"/>
      <c r="P29" s="458"/>
      <c r="Q29" s="458"/>
      <c r="R29" s="458"/>
      <c r="S29" s="458"/>
      <c r="T29" s="458"/>
      <c r="U29" s="458"/>
      <c r="V29" s="458"/>
      <c r="W29" s="458"/>
      <c r="X29" s="458"/>
      <c r="Y29" s="458"/>
      <c r="Z29" s="458"/>
      <c r="AA29" s="164">
        <v>232.489</v>
      </c>
      <c r="AB29" s="591" t="s">
        <v>35</v>
      </c>
      <c r="AC29" s="174">
        <f>'Ribassi PE'!$K$5</f>
        <v>0.67</v>
      </c>
      <c r="AD29" s="175">
        <f t="shared" si="0"/>
        <v>76.721000000000004</v>
      </c>
      <c r="AE29" s="174">
        <f>'Ribassi PE'!$M$5</f>
        <v>0.51500000000000001</v>
      </c>
      <c r="AF29" s="176">
        <f t="shared" si="1"/>
        <v>112.75700000000001</v>
      </c>
      <c r="AG29" s="96"/>
      <c r="AH29" s="592"/>
      <c r="AI29" s="220"/>
      <c r="AJ29" s="223"/>
      <c r="AK29" s="220"/>
      <c r="AL29" s="224"/>
      <c r="AM29" s="96"/>
      <c r="AN29" s="591" t="s">
        <v>35</v>
      </c>
      <c r="AO29" s="174">
        <f>'Ribassi PE'!$K$5</f>
        <v>0.67</v>
      </c>
      <c r="AP29" s="175">
        <f t="shared" si="4"/>
        <v>76.721000000000004</v>
      </c>
      <c r="AQ29" s="174">
        <f>'Ribassi PE'!$M$5</f>
        <v>0.51500000000000001</v>
      </c>
      <c r="AR29" s="176">
        <f t="shared" si="5"/>
        <v>112.75700000000001</v>
      </c>
      <c r="AS29" s="576"/>
      <c r="AT29" s="576"/>
      <c r="AU29" s="576"/>
      <c r="AV29" s="576"/>
      <c r="AW29" s="577"/>
    </row>
    <row r="30" spans="1:49" ht="35.1" customHeight="1" x14ac:dyDescent="0.2">
      <c r="A30" s="575"/>
      <c r="B30" s="206" t="s">
        <v>396</v>
      </c>
      <c r="C30" s="536" t="s">
        <v>397</v>
      </c>
      <c r="D30" s="958" t="s">
        <v>398</v>
      </c>
      <c r="E30" s="959" t="s">
        <v>434</v>
      </c>
      <c r="F30" s="207" t="s">
        <v>1160</v>
      </c>
      <c r="G30" s="854"/>
      <c r="H30" s="458"/>
      <c r="I30" s="458"/>
      <c r="J30" s="458"/>
      <c r="K30" s="458"/>
      <c r="L30" s="458"/>
      <c r="M30" s="458"/>
      <c r="N30" s="458"/>
      <c r="O30" s="458"/>
      <c r="P30" s="458"/>
      <c r="Q30" s="458"/>
      <c r="R30" s="458"/>
      <c r="S30" s="458"/>
      <c r="T30" s="458"/>
      <c r="U30" s="458"/>
      <c r="V30" s="458"/>
      <c r="W30" s="458"/>
      <c r="X30" s="458"/>
      <c r="Y30" s="458"/>
      <c r="Z30" s="458"/>
      <c r="AA30" s="164">
        <v>5.9429999999999996</v>
      </c>
      <c r="AB30" s="591" t="s">
        <v>35</v>
      </c>
      <c r="AC30" s="174">
        <f>'Ribassi PE'!$K$5</f>
        <v>0.67</v>
      </c>
      <c r="AD30" s="175">
        <f t="shared" si="0"/>
        <v>1.9610000000000001</v>
      </c>
      <c r="AE30" s="174">
        <f>'Ribassi PE'!$M$5</f>
        <v>0.51500000000000001</v>
      </c>
      <c r="AF30" s="176">
        <f t="shared" si="1"/>
        <v>2.8820000000000001</v>
      </c>
      <c r="AG30" s="96"/>
      <c r="AH30" s="592"/>
      <c r="AI30" s="220"/>
      <c r="AJ30" s="223"/>
      <c r="AK30" s="220"/>
      <c r="AL30" s="224"/>
      <c r="AM30" s="96"/>
      <c r="AN30" s="591" t="s">
        <v>35</v>
      </c>
      <c r="AO30" s="174">
        <f>'Ribassi PE'!$K$5</f>
        <v>0.67</v>
      </c>
      <c r="AP30" s="175">
        <f t="shared" si="4"/>
        <v>1.9610000000000001</v>
      </c>
      <c r="AQ30" s="174">
        <f>'Ribassi PE'!$M$5</f>
        <v>0.51500000000000001</v>
      </c>
      <c r="AR30" s="176">
        <f t="shared" si="5"/>
        <v>2.8820000000000001</v>
      </c>
      <c r="AS30" s="576"/>
      <c r="AT30" s="576"/>
      <c r="AU30" s="576"/>
      <c r="AV30" s="576"/>
      <c r="AW30" s="577"/>
    </row>
    <row r="31" spans="1:49" ht="35.1" customHeight="1" x14ac:dyDescent="0.2">
      <c r="A31" s="575"/>
      <c r="B31" s="206" t="s">
        <v>399</v>
      </c>
      <c r="C31" s="536" t="s">
        <v>400</v>
      </c>
      <c r="D31" s="958"/>
      <c r="E31" s="959"/>
      <c r="F31" s="207" t="s">
        <v>1160</v>
      </c>
      <c r="G31" s="854"/>
      <c r="H31" s="458"/>
      <c r="I31" s="458"/>
      <c r="J31" s="458"/>
      <c r="K31" s="458"/>
      <c r="L31" s="458"/>
      <c r="M31" s="458"/>
      <c r="N31" s="458"/>
      <c r="O31" s="458"/>
      <c r="P31" s="458"/>
      <c r="Q31" s="458"/>
      <c r="R31" s="458"/>
      <c r="S31" s="458"/>
      <c r="T31" s="458"/>
      <c r="U31" s="458"/>
      <c r="V31" s="458"/>
      <c r="W31" s="458"/>
      <c r="X31" s="458"/>
      <c r="Y31" s="458"/>
      <c r="Z31" s="458"/>
      <c r="AA31" s="134">
        <v>7.4320000000000004</v>
      </c>
      <c r="AB31" s="591" t="s">
        <v>35</v>
      </c>
      <c r="AC31" s="174">
        <f>'Ribassi PE'!$K$5</f>
        <v>0.67</v>
      </c>
      <c r="AD31" s="177">
        <f t="shared" si="0"/>
        <v>2.4529999999999998</v>
      </c>
      <c r="AE31" s="174">
        <f>'Ribassi PE'!$M$5</f>
        <v>0.51500000000000001</v>
      </c>
      <c r="AF31" s="178">
        <f t="shared" si="1"/>
        <v>3.605</v>
      </c>
      <c r="AG31" s="96"/>
      <c r="AH31" s="592"/>
      <c r="AI31" s="220"/>
      <c r="AJ31" s="221"/>
      <c r="AK31" s="220"/>
      <c r="AL31" s="222"/>
      <c r="AM31" s="96"/>
      <c r="AN31" s="591" t="s">
        <v>35</v>
      </c>
      <c r="AO31" s="174">
        <f>'Ribassi PE'!$K$5</f>
        <v>0.67</v>
      </c>
      <c r="AP31" s="177">
        <f t="shared" si="4"/>
        <v>2.4529999999999998</v>
      </c>
      <c r="AQ31" s="174">
        <f>'Ribassi PE'!$M$5</f>
        <v>0.51500000000000001</v>
      </c>
      <c r="AR31" s="178">
        <f t="shared" si="5"/>
        <v>3.605</v>
      </c>
      <c r="AS31" s="576"/>
      <c r="AT31" s="576"/>
      <c r="AU31" s="576"/>
      <c r="AV31" s="576"/>
      <c r="AW31" s="577"/>
    </row>
    <row r="32" spans="1:49" ht="35.1" customHeight="1" x14ac:dyDescent="0.2">
      <c r="A32" s="575"/>
      <c r="B32" s="206" t="s">
        <v>401</v>
      </c>
      <c r="C32" s="536" t="s">
        <v>402</v>
      </c>
      <c r="D32" s="958"/>
      <c r="E32" s="959"/>
      <c r="F32" s="207" t="s">
        <v>1160</v>
      </c>
      <c r="G32" s="854"/>
      <c r="H32" s="458"/>
      <c r="I32" s="458"/>
      <c r="J32" s="458"/>
      <c r="K32" s="458"/>
      <c r="L32" s="458"/>
      <c r="M32" s="458"/>
      <c r="N32" s="458"/>
      <c r="O32" s="458"/>
      <c r="P32" s="458"/>
      <c r="Q32" s="458"/>
      <c r="R32" s="458"/>
      <c r="S32" s="458"/>
      <c r="T32" s="458"/>
      <c r="U32" s="458"/>
      <c r="V32" s="458"/>
      <c r="W32" s="458"/>
      <c r="X32" s="458"/>
      <c r="Y32" s="458"/>
      <c r="Z32" s="458"/>
      <c r="AA32" s="134">
        <v>10.64</v>
      </c>
      <c r="AB32" s="591" t="s">
        <v>35</v>
      </c>
      <c r="AC32" s="174">
        <f>'Ribassi PE'!$K$5</f>
        <v>0.67</v>
      </c>
      <c r="AD32" s="175">
        <f t="shared" si="0"/>
        <v>3.5110000000000001</v>
      </c>
      <c r="AE32" s="174">
        <f>'Ribassi PE'!$M$5</f>
        <v>0.51500000000000001</v>
      </c>
      <c r="AF32" s="176">
        <f t="shared" si="1"/>
        <v>5.16</v>
      </c>
      <c r="AG32" s="96"/>
      <c r="AH32" s="592"/>
      <c r="AI32" s="220"/>
      <c r="AJ32" s="223"/>
      <c r="AK32" s="220"/>
      <c r="AL32" s="224"/>
      <c r="AM32" s="96"/>
      <c r="AN32" s="591" t="s">
        <v>35</v>
      </c>
      <c r="AO32" s="174">
        <f>'Ribassi PE'!$K$5</f>
        <v>0.67</v>
      </c>
      <c r="AP32" s="175">
        <f t="shared" si="4"/>
        <v>3.5110000000000001</v>
      </c>
      <c r="AQ32" s="174">
        <f>'Ribassi PE'!$M$5</f>
        <v>0.51500000000000001</v>
      </c>
      <c r="AR32" s="176">
        <f t="shared" si="5"/>
        <v>5.16</v>
      </c>
      <c r="AS32" s="576"/>
      <c r="AT32" s="576"/>
      <c r="AU32" s="576"/>
      <c r="AV32" s="576"/>
      <c r="AW32" s="577"/>
    </row>
    <row r="33" spans="1:49" ht="56.25" x14ac:dyDescent="0.2">
      <c r="A33" s="575"/>
      <c r="B33" s="206" t="s">
        <v>403</v>
      </c>
      <c r="C33" s="536" t="s">
        <v>404</v>
      </c>
      <c r="D33" s="529" t="s">
        <v>405</v>
      </c>
      <c r="E33" s="530" t="s">
        <v>435</v>
      </c>
      <c r="F33" s="207" t="s">
        <v>436</v>
      </c>
      <c r="G33" s="854"/>
      <c r="H33" s="458"/>
      <c r="I33" s="458"/>
      <c r="J33" s="458"/>
      <c r="K33" s="458"/>
      <c r="L33" s="458"/>
      <c r="M33" s="458"/>
      <c r="N33" s="458"/>
      <c r="O33" s="458"/>
      <c r="P33" s="458"/>
      <c r="Q33" s="458"/>
      <c r="R33" s="458"/>
      <c r="S33" s="458"/>
      <c r="T33" s="458"/>
      <c r="U33" s="458"/>
      <c r="V33" s="458"/>
      <c r="W33" s="458"/>
      <c r="X33" s="458"/>
      <c r="Y33" s="458"/>
      <c r="Z33" s="458"/>
      <c r="AA33" s="134">
        <v>1.8580000000000001</v>
      </c>
      <c r="AB33" s="591" t="s">
        <v>35</v>
      </c>
      <c r="AC33" s="174">
        <f>'Ribassi PE'!$K$5</f>
        <v>0.67</v>
      </c>
      <c r="AD33" s="177">
        <f t="shared" si="0"/>
        <v>0.61299999999999999</v>
      </c>
      <c r="AE33" s="174">
        <f>'Ribassi PE'!$M$5</f>
        <v>0.51500000000000001</v>
      </c>
      <c r="AF33" s="178">
        <f t="shared" si="1"/>
        <v>0.90100000000000002</v>
      </c>
      <c r="AG33" s="96"/>
      <c r="AH33" s="592"/>
      <c r="AI33" s="220"/>
      <c r="AJ33" s="221"/>
      <c r="AK33" s="220"/>
      <c r="AL33" s="222"/>
      <c r="AM33" s="96"/>
      <c r="AN33" s="591" t="s">
        <v>35</v>
      </c>
      <c r="AO33" s="174">
        <f>'Ribassi PE'!$K$5</f>
        <v>0.67</v>
      </c>
      <c r="AP33" s="177">
        <f t="shared" si="4"/>
        <v>0.61299999999999999</v>
      </c>
      <c r="AQ33" s="174">
        <f>'Ribassi PE'!$M$5</f>
        <v>0.51500000000000001</v>
      </c>
      <c r="AR33" s="178">
        <f t="shared" si="5"/>
        <v>0.90100000000000002</v>
      </c>
      <c r="AS33" s="576"/>
      <c r="AT33" s="576"/>
      <c r="AU33" s="576"/>
      <c r="AV33" s="576"/>
      <c r="AW33" s="577"/>
    </row>
    <row r="34" spans="1:49" ht="57" thickBot="1" x14ac:dyDescent="0.25">
      <c r="A34" s="578"/>
      <c r="B34" s="208" t="s">
        <v>406</v>
      </c>
      <c r="C34" s="209" t="s">
        <v>407</v>
      </c>
      <c r="D34" s="532" t="s">
        <v>408</v>
      </c>
      <c r="E34" s="210" t="s">
        <v>424</v>
      </c>
      <c r="F34" s="211" t="s">
        <v>306</v>
      </c>
      <c r="G34" s="855"/>
      <c r="H34" s="459"/>
      <c r="I34" s="459"/>
      <c r="J34" s="459"/>
      <c r="K34" s="459"/>
      <c r="L34" s="459"/>
      <c r="M34" s="459"/>
      <c r="N34" s="459"/>
      <c r="O34" s="459"/>
      <c r="P34" s="459"/>
      <c r="Q34" s="459"/>
      <c r="R34" s="459"/>
      <c r="S34" s="459"/>
      <c r="T34" s="459"/>
      <c r="U34" s="459"/>
      <c r="V34" s="459"/>
      <c r="W34" s="459"/>
      <c r="X34" s="459"/>
      <c r="Y34" s="459"/>
      <c r="Z34" s="459"/>
      <c r="AA34" s="137">
        <v>23.738</v>
      </c>
      <c r="AB34" s="593" t="s">
        <v>35</v>
      </c>
      <c r="AC34" s="182">
        <f>'Ribassi PE'!$K$5</f>
        <v>0.67</v>
      </c>
      <c r="AD34" s="183">
        <f t="shared" si="0"/>
        <v>7.8339999999999996</v>
      </c>
      <c r="AE34" s="182">
        <f>'Ribassi PE'!$M$5</f>
        <v>0.51500000000000001</v>
      </c>
      <c r="AF34" s="184">
        <f t="shared" si="1"/>
        <v>11.513</v>
      </c>
      <c r="AG34" s="96"/>
      <c r="AH34" s="594"/>
      <c r="AI34" s="228"/>
      <c r="AJ34" s="229"/>
      <c r="AK34" s="228"/>
      <c r="AL34" s="230"/>
      <c r="AM34" s="96"/>
      <c r="AN34" s="593" t="s">
        <v>35</v>
      </c>
      <c r="AO34" s="182">
        <f>'Ribassi PE'!$K$5</f>
        <v>0.67</v>
      </c>
      <c r="AP34" s="183">
        <f t="shared" si="4"/>
        <v>7.8339999999999996</v>
      </c>
      <c r="AQ34" s="182">
        <f>'Ribassi PE'!$M$5</f>
        <v>0.51500000000000001</v>
      </c>
      <c r="AR34" s="184">
        <f t="shared" si="5"/>
        <v>11.513</v>
      </c>
      <c r="AS34" s="576"/>
      <c r="AT34" s="576"/>
      <c r="AU34" s="576"/>
      <c r="AV34" s="576"/>
      <c r="AW34" s="577"/>
    </row>
    <row r="35" spans="1:49" s="99" customFormat="1" ht="12.75" thickBot="1" x14ac:dyDescent="0.25">
      <c r="A35" s="98"/>
      <c r="B35" s="98"/>
      <c r="C35" s="98"/>
      <c r="D35" s="98"/>
      <c r="E35" s="98"/>
      <c r="F35" s="125" t="s">
        <v>329</v>
      </c>
      <c r="G35" s="126">
        <f>SUMPRODUCT(G7:G34,$AA$7:$AA$34)*G$4/12</f>
        <v>729199.2919999999</v>
      </c>
      <c r="H35" s="126">
        <f>SUMPRODUCT(H7:H34,$AA$7:$AA$34)*H$4/12</f>
        <v>0</v>
      </c>
      <c r="I35" s="126">
        <f t="shared" ref="I35:Z35" si="6">SUMPRODUCT(I7:I34,$AA$7:$AA$34)*I$4/12</f>
        <v>0</v>
      </c>
      <c r="J35" s="126">
        <f t="shared" si="6"/>
        <v>0</v>
      </c>
      <c r="K35" s="126">
        <f t="shared" si="6"/>
        <v>0</v>
      </c>
      <c r="L35" s="126">
        <f t="shared" si="6"/>
        <v>0</v>
      </c>
      <c r="M35" s="126">
        <f t="shared" si="6"/>
        <v>0</v>
      </c>
      <c r="N35" s="126">
        <f t="shared" si="6"/>
        <v>0</v>
      </c>
      <c r="O35" s="126">
        <f t="shared" si="6"/>
        <v>0</v>
      </c>
      <c r="P35" s="126">
        <f t="shared" si="6"/>
        <v>0</v>
      </c>
      <c r="Q35" s="126">
        <f t="shared" si="6"/>
        <v>0</v>
      </c>
      <c r="R35" s="126">
        <f t="shared" si="6"/>
        <v>0</v>
      </c>
      <c r="S35" s="126">
        <f t="shared" si="6"/>
        <v>0</v>
      </c>
      <c r="T35" s="126">
        <f t="shared" si="6"/>
        <v>0</v>
      </c>
      <c r="U35" s="126">
        <f t="shared" si="6"/>
        <v>0</v>
      </c>
      <c r="V35" s="126">
        <f t="shared" si="6"/>
        <v>0</v>
      </c>
      <c r="W35" s="126">
        <f t="shared" si="6"/>
        <v>0</v>
      </c>
      <c r="X35" s="126">
        <f t="shared" si="6"/>
        <v>0</v>
      </c>
      <c r="Y35" s="126">
        <f t="shared" si="6"/>
        <v>0</v>
      </c>
      <c r="Z35" s="126">
        <f t="shared" si="6"/>
        <v>0</v>
      </c>
      <c r="AA35" s="97"/>
      <c r="AB35" s="98"/>
      <c r="AC35" s="98"/>
      <c r="AD35" s="98"/>
      <c r="AE35" s="98"/>
      <c r="AF35" s="98"/>
      <c r="AG35" s="98"/>
      <c r="AH35" s="98"/>
      <c r="AI35" s="98"/>
      <c r="AJ35" s="98"/>
      <c r="AK35" s="98"/>
      <c r="AL35" s="98"/>
      <c r="AM35" s="98"/>
      <c r="AN35" s="98"/>
      <c r="AO35" s="98"/>
      <c r="AP35" s="98"/>
      <c r="AQ35" s="98"/>
      <c r="AR35" s="98"/>
      <c r="AS35" s="98"/>
      <c r="AT35" s="98"/>
      <c r="AU35" s="98"/>
      <c r="AV35" s="98"/>
      <c r="AW35" s="96"/>
    </row>
    <row r="36" spans="1:49" s="99" customFormat="1" ht="12.75" thickBot="1" x14ac:dyDescent="0.25">
      <c r="A36" s="98"/>
      <c r="B36" s="98"/>
      <c r="C36" s="98"/>
      <c r="D36" s="98"/>
      <c r="E36" s="98"/>
      <c r="F36" s="581" t="s">
        <v>330</v>
      </c>
      <c r="G36" s="201">
        <f>IF(AND(SUM(G$7:G$8)=0,SUM(G$21:G$34)=0),SUMPRODUCT(G$7:G$34,$AD$7:$AD$34)*G$4/12,IF(AND(SUM(G$7:G$8)&gt;0,SUM(G$21:G$34)&gt;0),SUMPRODUCT(G$7:G$34,$AD$7:$AD$34)*G$4/12,IF(AND(SUM(G$7:G$8)&gt;0,SUM(G$21:G$34)=0),SUMPRODUCT(G$7:G$20,$AJ$7:$AJ$20)*G$4/12,IF(AND(SUM(G$7:G$8)=0,SUM(G$21:G$34)&gt;0),SUMPRODUCT(G$9:G$34,$AP$9:$AP$34)*G$4/12,""))))</f>
        <v>240631.04800000004</v>
      </c>
      <c r="H36" s="201">
        <f t="shared" ref="H36:Z36" si="7">IF(AND(SUM(H$7:H$8)=0,SUM(H$21:H$34)=0),SUMPRODUCT(H$7:H$34,$AD$7:$AD$34)*H$4/12,IF(AND(SUM(H$7:H$8)&gt;0,SUM(H$21:H$34)&gt;0),SUMPRODUCT(H$7:H$34,$AD$7:$AD$34)*H$4/12,IF(AND(SUM(H$7:H$8)&gt;0,SUM(H$21:H$34)=0),SUMPRODUCT(H$7:H$20,$AJ$7:$AJ$20)*H$4/12,IF(AND(SUM(H$7:H$8)=0,SUM(H$21:H$34)&gt;0),SUMPRODUCT(H$9:H$34,$AP$9:$AP$34)*H$4/12,""))))</f>
        <v>0</v>
      </c>
      <c r="I36" s="201">
        <f t="shared" si="7"/>
        <v>0</v>
      </c>
      <c r="J36" s="201">
        <f t="shared" si="7"/>
        <v>0</v>
      </c>
      <c r="K36" s="201">
        <f t="shared" si="7"/>
        <v>0</v>
      </c>
      <c r="L36" s="201">
        <f t="shared" si="7"/>
        <v>0</v>
      </c>
      <c r="M36" s="201">
        <f t="shared" si="7"/>
        <v>0</v>
      </c>
      <c r="N36" s="201">
        <f t="shared" si="7"/>
        <v>0</v>
      </c>
      <c r="O36" s="201">
        <f t="shared" si="7"/>
        <v>0</v>
      </c>
      <c r="P36" s="201">
        <f t="shared" si="7"/>
        <v>0</v>
      </c>
      <c r="Q36" s="201">
        <f t="shared" si="7"/>
        <v>0</v>
      </c>
      <c r="R36" s="201">
        <f t="shared" si="7"/>
        <v>0</v>
      </c>
      <c r="S36" s="201">
        <f t="shared" si="7"/>
        <v>0</v>
      </c>
      <c r="T36" s="201">
        <f t="shared" si="7"/>
        <v>0</v>
      </c>
      <c r="U36" s="201">
        <f t="shared" si="7"/>
        <v>0</v>
      </c>
      <c r="V36" s="201">
        <f t="shared" si="7"/>
        <v>0</v>
      </c>
      <c r="W36" s="201">
        <f t="shared" si="7"/>
        <v>0</v>
      </c>
      <c r="X36" s="201">
        <f t="shared" si="7"/>
        <v>0</v>
      </c>
      <c r="Y36" s="201">
        <f t="shared" si="7"/>
        <v>0</v>
      </c>
      <c r="Z36" s="201">
        <f t="shared" si="7"/>
        <v>0</v>
      </c>
      <c r="AA36" s="97"/>
      <c r="AB36" s="98"/>
      <c r="AC36" s="98"/>
      <c r="AD36" s="98"/>
      <c r="AE36" s="98"/>
      <c r="AF36" s="98"/>
      <c r="AG36" s="98"/>
      <c r="AH36" s="98"/>
      <c r="AI36" s="98"/>
      <c r="AJ36" s="98"/>
      <c r="AK36" s="98"/>
      <c r="AL36" s="98"/>
      <c r="AM36" s="98"/>
      <c r="AN36" s="98"/>
      <c r="AO36" s="98"/>
      <c r="AP36" s="98"/>
      <c r="AQ36" s="98"/>
      <c r="AR36" s="98"/>
      <c r="AS36" s="98"/>
      <c r="AT36" s="98"/>
      <c r="AU36" s="98"/>
      <c r="AV36" s="98"/>
      <c r="AW36" s="96"/>
    </row>
    <row r="37" spans="1:49" s="99" customFormat="1" ht="12.75" thickBot="1" x14ac:dyDescent="0.25">
      <c r="A37" s="98"/>
      <c r="B37" s="98"/>
      <c r="C37" s="98"/>
      <c r="D37" s="98"/>
      <c r="E37" s="98"/>
      <c r="F37" s="581" t="s">
        <v>331</v>
      </c>
      <c r="G37" s="201">
        <f>IF(AND(SUM(G$7:G$8)=0,SUM(G$21:G$34)=0),SUMPRODUCT(G$7:G$34,$AF$7:$AF$34)*G$4/12,IF(AND(SUM(G$7:G$8)&gt;0,SUM(G$21:G$34)&gt;0),SUMPRODUCT(G$7:G$34,$AF$7:$AF$34)*G$4/12,IF(AND(SUM(G$7:G$8)&gt;0,SUM(G$21:G$34)=0),SUMPRODUCT(G$7:G$20,$AL$7:$AL$20)*G$4/12,IF(AND(SUM(G$7:G$8)=0,SUM(G$21:G$34)&gt;0),SUMPRODUCT(G$9:G$34,$AR$9:$AR$34)*G$4/12,""))))</f>
        <v>302021.83999999997</v>
      </c>
      <c r="H37" s="201">
        <f t="shared" ref="H37:Z37" si="8">IF(AND(SUM(H$7:H$8)=0,SUM(H$21:H$34)=0),SUMPRODUCT(H$7:H$34,$AF$7:$AF$34)*H$4/12,IF(AND(SUM(H$7:H$8)&gt;0,SUM(H$21:H$34)&gt;0),SUMPRODUCT(H$7:H$34,$AF$7:$AF$34)*H$4/12,IF(AND(SUM(H$7:H$8)&gt;0,SUM(H$21:H$34)=0),SUMPRODUCT(H$7:H$20,$AL$7:$AL$20)*H$4/12,IF(AND(SUM(H$7:H$8)=0,SUM(H$21:H$34)&gt;0),SUMPRODUCT(H$9:H$34,$AR$9:$AR$34)*H$4/12,""))))</f>
        <v>0</v>
      </c>
      <c r="I37" s="201">
        <f t="shared" si="8"/>
        <v>0</v>
      </c>
      <c r="J37" s="201">
        <f t="shared" si="8"/>
        <v>0</v>
      </c>
      <c r="K37" s="201">
        <f t="shared" si="8"/>
        <v>0</v>
      </c>
      <c r="L37" s="201">
        <f t="shared" si="8"/>
        <v>0</v>
      </c>
      <c r="M37" s="201">
        <f t="shared" si="8"/>
        <v>0</v>
      </c>
      <c r="N37" s="201">
        <f t="shared" si="8"/>
        <v>0</v>
      </c>
      <c r="O37" s="201">
        <f t="shared" si="8"/>
        <v>0</v>
      </c>
      <c r="P37" s="201">
        <f t="shared" si="8"/>
        <v>0</v>
      </c>
      <c r="Q37" s="201">
        <f t="shared" si="8"/>
        <v>0</v>
      </c>
      <c r="R37" s="201">
        <f t="shared" si="8"/>
        <v>0</v>
      </c>
      <c r="S37" s="201">
        <f t="shared" si="8"/>
        <v>0</v>
      </c>
      <c r="T37" s="201">
        <f t="shared" si="8"/>
        <v>0</v>
      </c>
      <c r="U37" s="201">
        <f t="shared" si="8"/>
        <v>0</v>
      </c>
      <c r="V37" s="201">
        <f t="shared" si="8"/>
        <v>0</v>
      </c>
      <c r="W37" s="201">
        <f t="shared" si="8"/>
        <v>0</v>
      </c>
      <c r="X37" s="201">
        <f t="shared" si="8"/>
        <v>0</v>
      </c>
      <c r="Y37" s="201">
        <f t="shared" si="8"/>
        <v>0</v>
      </c>
      <c r="Z37" s="201">
        <f t="shared" si="8"/>
        <v>0</v>
      </c>
      <c r="AA37" s="97"/>
      <c r="AB37" s="98"/>
      <c r="AC37" s="98"/>
      <c r="AD37" s="98"/>
      <c r="AE37" s="98"/>
      <c r="AF37" s="98"/>
      <c r="AG37" s="98"/>
      <c r="AH37" s="98"/>
      <c r="AI37" s="98"/>
      <c r="AJ37" s="98"/>
      <c r="AK37" s="98"/>
      <c r="AL37" s="98"/>
      <c r="AM37" s="98"/>
      <c r="AN37" s="98"/>
      <c r="AO37" s="98"/>
      <c r="AP37" s="98"/>
      <c r="AQ37" s="98"/>
      <c r="AR37" s="98"/>
      <c r="AS37" s="98"/>
      <c r="AT37" s="98"/>
      <c r="AU37" s="98"/>
      <c r="AV37" s="98"/>
      <c r="AW37" s="96"/>
    </row>
    <row r="38" spans="1:49" x14ac:dyDescent="0.2">
      <c r="A38" s="576"/>
      <c r="B38" s="98"/>
      <c r="C38" s="98"/>
      <c r="D38" s="98"/>
      <c r="E38" s="98"/>
      <c r="F38" s="98"/>
      <c r="G38" s="586"/>
      <c r="H38" s="586"/>
      <c r="I38" s="586"/>
      <c r="J38" s="586"/>
      <c r="K38" s="586"/>
      <c r="L38" s="586"/>
      <c r="M38" s="586"/>
      <c r="N38" s="586"/>
      <c r="O38" s="586"/>
      <c r="P38" s="586"/>
      <c r="Q38" s="586"/>
      <c r="R38" s="586"/>
      <c r="S38" s="586"/>
      <c r="T38" s="586"/>
      <c r="U38" s="586"/>
      <c r="V38" s="586"/>
      <c r="W38" s="586"/>
      <c r="X38" s="586"/>
      <c r="Y38" s="586"/>
      <c r="Z38" s="586"/>
      <c r="AA38" s="98"/>
      <c r="AB38" s="98"/>
      <c r="AC38" s="98"/>
      <c r="AD38" s="98"/>
      <c r="AE38" s="98"/>
      <c r="AF38" s="98"/>
      <c r="AG38" s="98"/>
      <c r="AH38" s="98"/>
      <c r="AI38" s="98"/>
      <c r="AJ38" s="98"/>
      <c r="AK38" s="98"/>
      <c r="AL38" s="98"/>
      <c r="AM38" s="98"/>
      <c r="AN38" s="98"/>
      <c r="AO38" s="98"/>
      <c r="AP38" s="98"/>
      <c r="AQ38" s="98"/>
      <c r="AR38" s="98"/>
      <c r="AS38" s="576"/>
      <c r="AT38" s="576"/>
      <c r="AU38" s="576"/>
      <c r="AV38" s="576"/>
      <c r="AW38" s="577"/>
    </row>
    <row r="39" spans="1:49" x14ac:dyDescent="0.2">
      <c r="A39" s="576"/>
      <c r="B39" s="98"/>
      <c r="C39" s="98"/>
      <c r="D39" s="98"/>
      <c r="E39" s="98"/>
      <c r="F39" s="98"/>
      <c r="G39" s="586"/>
      <c r="H39" s="586"/>
      <c r="I39" s="586"/>
      <c r="J39" s="586"/>
      <c r="K39" s="586"/>
      <c r="L39" s="586"/>
      <c r="M39" s="586"/>
      <c r="N39" s="586"/>
      <c r="O39" s="586"/>
      <c r="P39" s="586"/>
      <c r="Q39" s="586"/>
      <c r="R39" s="586"/>
      <c r="S39" s="586"/>
      <c r="T39" s="586"/>
      <c r="U39" s="586"/>
      <c r="V39" s="586"/>
      <c r="W39" s="586"/>
      <c r="X39" s="586"/>
      <c r="Y39" s="586"/>
      <c r="Z39" s="586"/>
      <c r="AA39" s="98"/>
      <c r="AB39" s="98"/>
      <c r="AC39" s="98"/>
      <c r="AD39" s="98"/>
      <c r="AE39" s="98"/>
      <c r="AF39" s="98"/>
      <c r="AG39" s="98"/>
      <c r="AH39" s="98"/>
      <c r="AI39" s="98"/>
      <c r="AJ39" s="98"/>
      <c r="AK39" s="98"/>
      <c r="AL39" s="98"/>
      <c r="AM39" s="98"/>
      <c r="AN39" s="98"/>
      <c r="AO39" s="98"/>
      <c r="AP39" s="98"/>
      <c r="AQ39" s="98"/>
      <c r="AR39" s="98"/>
      <c r="AS39" s="576"/>
      <c r="AT39" s="576"/>
      <c r="AU39" s="576"/>
      <c r="AV39" s="576"/>
      <c r="AW39" s="577"/>
    </row>
    <row r="40" spans="1:49" x14ac:dyDescent="0.2">
      <c r="A40" s="576"/>
      <c r="B40" s="98"/>
      <c r="C40" s="98"/>
      <c r="D40" s="98"/>
      <c r="E40" s="98"/>
      <c r="F40" s="98"/>
      <c r="G40" s="586"/>
      <c r="H40" s="586"/>
      <c r="I40" s="586"/>
      <c r="J40" s="586"/>
      <c r="K40" s="586"/>
      <c r="L40" s="586"/>
      <c r="M40" s="586"/>
      <c r="N40" s="586"/>
      <c r="O40" s="586"/>
      <c r="P40" s="586"/>
      <c r="Q40" s="586"/>
      <c r="R40" s="586"/>
      <c r="S40" s="586"/>
      <c r="T40" s="586"/>
      <c r="U40" s="586"/>
      <c r="V40" s="586"/>
      <c r="W40" s="586"/>
      <c r="X40" s="586"/>
      <c r="Y40" s="586"/>
      <c r="Z40" s="586"/>
      <c r="AA40" s="98"/>
      <c r="AB40" s="98"/>
      <c r="AC40" s="98"/>
      <c r="AD40" s="98"/>
      <c r="AE40" s="98"/>
      <c r="AF40" s="98"/>
      <c r="AG40" s="98"/>
      <c r="AH40" s="98"/>
      <c r="AI40" s="98"/>
      <c r="AJ40" s="98"/>
      <c r="AK40" s="98"/>
      <c r="AL40" s="98"/>
      <c r="AM40" s="98"/>
      <c r="AN40" s="98"/>
      <c r="AO40" s="98"/>
      <c r="AP40" s="98"/>
      <c r="AQ40" s="98"/>
      <c r="AR40" s="98"/>
      <c r="AS40" s="576"/>
      <c r="AT40" s="576"/>
      <c r="AU40" s="576"/>
      <c r="AV40" s="576"/>
      <c r="AW40" s="577"/>
    </row>
    <row r="41" spans="1:49" x14ac:dyDescent="0.2">
      <c r="A41" s="576"/>
      <c r="B41" s="98"/>
      <c r="C41" s="98"/>
      <c r="D41" s="98"/>
      <c r="E41" s="98"/>
      <c r="F41" s="98"/>
      <c r="G41" s="586"/>
      <c r="H41" s="586"/>
      <c r="I41" s="586"/>
      <c r="J41" s="586"/>
      <c r="K41" s="586"/>
      <c r="L41" s="586"/>
      <c r="M41" s="586"/>
      <c r="N41" s="586"/>
      <c r="O41" s="586"/>
      <c r="P41" s="586"/>
      <c r="Q41" s="586"/>
      <c r="R41" s="586"/>
      <c r="S41" s="586"/>
      <c r="T41" s="586"/>
      <c r="U41" s="586"/>
      <c r="V41" s="586"/>
      <c r="W41" s="586"/>
      <c r="X41" s="586"/>
      <c r="Y41" s="586"/>
      <c r="Z41" s="586"/>
      <c r="AA41" s="98"/>
      <c r="AB41" s="98"/>
      <c r="AC41" s="98"/>
      <c r="AD41" s="98"/>
      <c r="AE41" s="98"/>
      <c r="AF41" s="98"/>
      <c r="AG41" s="98"/>
      <c r="AH41" s="98"/>
      <c r="AI41" s="98"/>
      <c r="AJ41" s="98"/>
      <c r="AK41" s="98"/>
      <c r="AL41" s="98"/>
      <c r="AM41" s="98"/>
      <c r="AN41" s="98"/>
      <c r="AO41" s="98"/>
      <c r="AP41" s="98"/>
      <c r="AQ41" s="98"/>
      <c r="AR41" s="98"/>
      <c r="AS41" s="576"/>
      <c r="AT41" s="576"/>
      <c r="AU41" s="576"/>
      <c r="AV41" s="576"/>
      <c r="AW41" s="577"/>
    </row>
    <row r="42" spans="1:49" x14ac:dyDescent="0.2">
      <c r="A42" s="576"/>
      <c r="B42" s="98"/>
      <c r="C42" s="98"/>
      <c r="D42" s="98"/>
      <c r="E42" s="98"/>
      <c r="F42" s="98"/>
      <c r="G42" s="586"/>
      <c r="H42" s="586"/>
      <c r="I42" s="586"/>
      <c r="J42" s="586"/>
      <c r="K42" s="586"/>
      <c r="L42" s="586"/>
      <c r="M42" s="586"/>
      <c r="N42" s="586"/>
      <c r="O42" s="586"/>
      <c r="P42" s="586"/>
      <c r="Q42" s="586"/>
      <c r="R42" s="586"/>
      <c r="S42" s="586"/>
      <c r="T42" s="586"/>
      <c r="U42" s="586"/>
      <c r="V42" s="586"/>
      <c r="W42" s="586"/>
      <c r="X42" s="586"/>
      <c r="Y42" s="586"/>
      <c r="Z42" s="586"/>
      <c r="AA42" s="98"/>
      <c r="AB42" s="98"/>
      <c r="AC42" s="98"/>
      <c r="AD42" s="98"/>
      <c r="AE42" s="98"/>
      <c r="AF42" s="98"/>
      <c r="AG42" s="98"/>
      <c r="AH42" s="98"/>
      <c r="AI42" s="98"/>
      <c r="AJ42" s="98"/>
      <c r="AK42" s="98"/>
      <c r="AL42" s="98"/>
      <c r="AM42" s="98"/>
      <c r="AN42" s="98"/>
      <c r="AO42" s="98"/>
      <c r="AP42" s="98"/>
      <c r="AQ42" s="98"/>
      <c r="AR42" s="98"/>
      <c r="AS42" s="576"/>
      <c r="AT42" s="576"/>
      <c r="AU42" s="576"/>
      <c r="AV42" s="576"/>
      <c r="AW42" s="577"/>
    </row>
    <row r="43" spans="1:49" x14ac:dyDescent="0.2">
      <c r="A43" s="576"/>
      <c r="B43" s="98"/>
      <c r="C43" s="98"/>
      <c r="D43" s="98"/>
      <c r="E43" s="98"/>
      <c r="F43" s="98"/>
      <c r="G43" s="586"/>
      <c r="H43" s="586"/>
      <c r="I43" s="586"/>
      <c r="J43" s="586"/>
      <c r="K43" s="586"/>
      <c r="L43" s="586"/>
      <c r="M43" s="586"/>
      <c r="N43" s="586"/>
      <c r="O43" s="586"/>
      <c r="P43" s="586"/>
      <c r="Q43" s="586"/>
      <c r="R43" s="586"/>
      <c r="S43" s="586"/>
      <c r="T43" s="586"/>
      <c r="U43" s="586"/>
      <c r="V43" s="586"/>
      <c r="W43" s="586"/>
      <c r="X43" s="586"/>
      <c r="Y43" s="586"/>
      <c r="Z43" s="586"/>
      <c r="AA43" s="98"/>
      <c r="AB43" s="98"/>
      <c r="AC43" s="98"/>
      <c r="AD43" s="98"/>
      <c r="AE43" s="98"/>
      <c r="AF43" s="98"/>
      <c r="AG43" s="98"/>
      <c r="AH43" s="98"/>
      <c r="AI43" s="98"/>
      <c r="AJ43" s="98"/>
      <c r="AK43" s="98"/>
      <c r="AL43" s="98"/>
      <c r="AM43" s="98"/>
      <c r="AN43" s="98"/>
      <c r="AO43" s="98"/>
      <c r="AP43" s="98"/>
      <c r="AQ43" s="98"/>
      <c r="AR43" s="98"/>
      <c r="AS43" s="576"/>
      <c r="AT43" s="576"/>
      <c r="AU43" s="576"/>
      <c r="AV43" s="576"/>
      <c r="AW43" s="577"/>
    </row>
    <row r="44" spans="1:49" x14ac:dyDescent="0.2">
      <c r="A44" s="576"/>
      <c r="B44" s="98"/>
      <c r="C44" s="98"/>
      <c r="D44" s="98"/>
      <c r="E44" s="98"/>
      <c r="F44" s="98"/>
      <c r="G44" s="586"/>
      <c r="H44" s="586"/>
      <c r="I44" s="586"/>
      <c r="J44" s="586"/>
      <c r="K44" s="586"/>
      <c r="L44" s="586"/>
      <c r="M44" s="586"/>
      <c r="N44" s="586"/>
      <c r="O44" s="586"/>
      <c r="P44" s="586"/>
      <c r="Q44" s="586"/>
      <c r="R44" s="586"/>
      <c r="S44" s="586"/>
      <c r="T44" s="586"/>
      <c r="U44" s="586"/>
      <c r="V44" s="586"/>
      <c r="W44" s="586"/>
      <c r="X44" s="586"/>
      <c r="Y44" s="586"/>
      <c r="Z44" s="586"/>
      <c r="AA44" s="98"/>
      <c r="AB44" s="98"/>
      <c r="AC44" s="98"/>
      <c r="AD44" s="98"/>
      <c r="AE44" s="98"/>
      <c r="AF44" s="98"/>
      <c r="AG44" s="98"/>
      <c r="AH44" s="98"/>
      <c r="AI44" s="98"/>
      <c r="AJ44" s="98"/>
      <c r="AK44" s="98"/>
      <c r="AL44" s="98"/>
      <c r="AM44" s="98"/>
      <c r="AN44" s="98"/>
      <c r="AO44" s="98"/>
      <c r="AP44" s="98"/>
      <c r="AQ44" s="98"/>
      <c r="AR44" s="98"/>
      <c r="AS44" s="576"/>
      <c r="AT44" s="576"/>
      <c r="AU44" s="576"/>
      <c r="AV44" s="576"/>
      <c r="AW44" s="577"/>
    </row>
    <row r="45" spans="1:49" x14ac:dyDescent="0.2">
      <c r="A45" s="576"/>
      <c r="B45" s="98"/>
      <c r="C45" s="98"/>
      <c r="D45" s="98"/>
      <c r="E45" s="98"/>
      <c r="F45" s="98"/>
      <c r="G45" s="586"/>
      <c r="H45" s="586"/>
      <c r="I45" s="586"/>
      <c r="J45" s="586"/>
      <c r="K45" s="586"/>
      <c r="L45" s="586"/>
      <c r="M45" s="586"/>
      <c r="N45" s="586"/>
      <c r="O45" s="586"/>
      <c r="P45" s="586"/>
      <c r="Q45" s="586"/>
      <c r="R45" s="586"/>
      <c r="S45" s="586"/>
      <c r="T45" s="586"/>
      <c r="U45" s="586"/>
      <c r="V45" s="586"/>
      <c r="W45" s="586"/>
      <c r="X45" s="586"/>
      <c r="Y45" s="586"/>
      <c r="Z45" s="586"/>
      <c r="AA45" s="98"/>
      <c r="AB45" s="98"/>
      <c r="AC45" s="98"/>
      <c r="AD45" s="98"/>
      <c r="AE45" s="98"/>
      <c r="AF45" s="98"/>
      <c r="AG45" s="98"/>
      <c r="AH45" s="98"/>
      <c r="AI45" s="98"/>
      <c r="AJ45" s="98"/>
      <c r="AK45" s="98"/>
      <c r="AL45" s="98"/>
      <c r="AM45" s="98"/>
      <c r="AN45" s="98"/>
      <c r="AO45" s="98"/>
      <c r="AP45" s="98"/>
      <c r="AQ45" s="98"/>
      <c r="AR45" s="98"/>
      <c r="AS45" s="576"/>
      <c r="AT45" s="576"/>
      <c r="AU45" s="576"/>
      <c r="AV45" s="576"/>
      <c r="AW45" s="577"/>
    </row>
    <row r="46" spans="1:49" x14ac:dyDescent="0.2">
      <c r="A46" s="576"/>
      <c r="B46" s="98"/>
      <c r="C46" s="98"/>
      <c r="D46" s="98"/>
      <c r="E46" s="98"/>
      <c r="F46" s="98"/>
      <c r="G46" s="586"/>
      <c r="H46" s="586"/>
      <c r="I46" s="586"/>
      <c r="J46" s="586"/>
      <c r="K46" s="586"/>
      <c r="L46" s="586"/>
      <c r="M46" s="586"/>
      <c r="N46" s="586"/>
      <c r="O46" s="586"/>
      <c r="P46" s="586"/>
      <c r="Q46" s="586"/>
      <c r="R46" s="586"/>
      <c r="S46" s="586"/>
      <c r="T46" s="586"/>
      <c r="U46" s="586"/>
      <c r="V46" s="586"/>
      <c r="W46" s="586"/>
      <c r="X46" s="586"/>
      <c r="Y46" s="586"/>
      <c r="Z46" s="586"/>
      <c r="AA46" s="98"/>
      <c r="AB46" s="98"/>
      <c r="AC46" s="98"/>
      <c r="AD46" s="98"/>
      <c r="AE46" s="98"/>
      <c r="AF46" s="98"/>
      <c r="AG46" s="98"/>
      <c r="AH46" s="98"/>
      <c r="AI46" s="98"/>
      <c r="AJ46" s="98"/>
      <c r="AK46" s="98"/>
      <c r="AL46" s="98"/>
      <c r="AM46" s="98"/>
      <c r="AN46" s="98"/>
      <c r="AO46" s="98"/>
      <c r="AP46" s="98"/>
      <c r="AQ46" s="98"/>
      <c r="AR46" s="98"/>
      <c r="AS46" s="576"/>
      <c r="AT46" s="576"/>
      <c r="AU46" s="576"/>
      <c r="AV46" s="576"/>
      <c r="AW46" s="577"/>
    </row>
    <row r="47" spans="1:49" x14ac:dyDescent="0.2">
      <c r="A47" s="576"/>
      <c r="B47" s="98"/>
      <c r="C47" s="98"/>
      <c r="D47" s="98"/>
      <c r="E47" s="98"/>
      <c r="F47" s="98"/>
      <c r="G47" s="586"/>
      <c r="H47" s="586"/>
      <c r="I47" s="586"/>
      <c r="J47" s="586"/>
      <c r="K47" s="586"/>
      <c r="L47" s="586"/>
      <c r="M47" s="586"/>
      <c r="N47" s="586"/>
      <c r="O47" s="586"/>
      <c r="P47" s="586"/>
      <c r="Q47" s="586"/>
      <c r="R47" s="586"/>
      <c r="S47" s="586"/>
      <c r="T47" s="586"/>
      <c r="U47" s="586"/>
      <c r="V47" s="586"/>
      <c r="W47" s="586"/>
      <c r="X47" s="586"/>
      <c r="Y47" s="586"/>
      <c r="Z47" s="586"/>
      <c r="AA47" s="98"/>
      <c r="AB47" s="98"/>
      <c r="AC47" s="98"/>
      <c r="AD47" s="98"/>
      <c r="AE47" s="98"/>
      <c r="AF47" s="98"/>
      <c r="AG47" s="98"/>
      <c r="AH47" s="98"/>
      <c r="AI47" s="98"/>
      <c r="AJ47" s="98"/>
      <c r="AK47" s="98"/>
      <c r="AL47" s="98"/>
      <c r="AM47" s="98"/>
      <c r="AN47" s="98"/>
      <c r="AO47" s="98"/>
      <c r="AP47" s="98"/>
      <c r="AQ47" s="98"/>
      <c r="AR47" s="98"/>
      <c r="AS47" s="576"/>
      <c r="AT47" s="576"/>
      <c r="AU47" s="576"/>
      <c r="AV47" s="576"/>
      <c r="AW47" s="577"/>
    </row>
    <row r="48" spans="1:49" x14ac:dyDescent="0.2">
      <c r="A48" s="576"/>
      <c r="B48" s="98"/>
      <c r="C48" s="98"/>
      <c r="D48" s="98"/>
      <c r="E48" s="98"/>
      <c r="F48" s="98"/>
      <c r="G48" s="586"/>
      <c r="H48" s="586"/>
      <c r="I48" s="586"/>
      <c r="J48" s="586"/>
      <c r="K48" s="586"/>
      <c r="L48" s="586"/>
      <c r="M48" s="586"/>
      <c r="N48" s="586"/>
      <c r="O48" s="586"/>
      <c r="P48" s="586"/>
      <c r="Q48" s="586"/>
      <c r="R48" s="586"/>
      <c r="S48" s="586"/>
      <c r="T48" s="586"/>
      <c r="U48" s="586"/>
      <c r="V48" s="586"/>
      <c r="W48" s="586"/>
      <c r="X48" s="586"/>
      <c r="Y48" s="586"/>
      <c r="Z48" s="586"/>
      <c r="AA48" s="98"/>
      <c r="AB48" s="98"/>
      <c r="AC48" s="98"/>
      <c r="AD48" s="98"/>
      <c r="AE48" s="98"/>
      <c r="AF48" s="98"/>
      <c r="AG48" s="98"/>
      <c r="AH48" s="98"/>
      <c r="AI48" s="98"/>
      <c r="AJ48" s="98"/>
      <c r="AK48" s="98"/>
      <c r="AL48" s="98"/>
      <c r="AM48" s="98"/>
      <c r="AN48" s="98"/>
      <c r="AO48" s="98"/>
      <c r="AP48" s="98"/>
      <c r="AQ48" s="98"/>
      <c r="AR48" s="98"/>
      <c r="AS48" s="576"/>
      <c r="AT48" s="576"/>
      <c r="AU48" s="576"/>
      <c r="AV48" s="576"/>
      <c r="AW48" s="577"/>
    </row>
    <row r="49" spans="1:49" x14ac:dyDescent="0.2">
      <c r="A49" s="576"/>
      <c r="B49" s="98"/>
      <c r="C49" s="98"/>
      <c r="D49" s="98"/>
      <c r="E49" s="98"/>
      <c r="F49" s="98"/>
      <c r="G49" s="586"/>
      <c r="H49" s="586"/>
      <c r="I49" s="586"/>
      <c r="J49" s="586"/>
      <c r="K49" s="586"/>
      <c r="L49" s="586"/>
      <c r="M49" s="586"/>
      <c r="N49" s="586"/>
      <c r="O49" s="586"/>
      <c r="P49" s="586"/>
      <c r="Q49" s="586"/>
      <c r="R49" s="586"/>
      <c r="S49" s="586"/>
      <c r="T49" s="586"/>
      <c r="U49" s="586"/>
      <c r="V49" s="586"/>
      <c r="W49" s="586"/>
      <c r="X49" s="586"/>
      <c r="Y49" s="586"/>
      <c r="Z49" s="586"/>
      <c r="AA49" s="98"/>
      <c r="AB49" s="98"/>
      <c r="AC49" s="98"/>
      <c r="AD49" s="98"/>
      <c r="AE49" s="98"/>
      <c r="AF49" s="98"/>
      <c r="AG49" s="98"/>
      <c r="AH49" s="98"/>
      <c r="AI49" s="98"/>
      <c r="AJ49" s="98"/>
      <c r="AK49" s="98"/>
      <c r="AL49" s="98"/>
      <c r="AM49" s="98"/>
      <c r="AN49" s="98"/>
      <c r="AO49" s="98"/>
      <c r="AP49" s="98"/>
      <c r="AQ49" s="98"/>
      <c r="AR49" s="98"/>
      <c r="AS49" s="576"/>
      <c r="AT49" s="576"/>
      <c r="AU49" s="576"/>
      <c r="AV49" s="576"/>
      <c r="AW49" s="577"/>
    </row>
    <row r="50" spans="1:49" x14ac:dyDescent="0.2">
      <c r="A50" s="576"/>
      <c r="B50" s="98"/>
      <c r="C50" s="98"/>
      <c r="D50" s="98"/>
      <c r="E50" s="98"/>
      <c r="F50" s="98"/>
      <c r="G50" s="586"/>
      <c r="H50" s="586"/>
      <c r="I50" s="586"/>
      <c r="J50" s="586"/>
      <c r="K50" s="586"/>
      <c r="L50" s="586"/>
      <c r="M50" s="586"/>
      <c r="N50" s="586"/>
      <c r="O50" s="586"/>
      <c r="P50" s="586"/>
      <c r="Q50" s="586"/>
      <c r="R50" s="586"/>
      <c r="S50" s="586"/>
      <c r="T50" s="586"/>
      <c r="U50" s="586"/>
      <c r="V50" s="586"/>
      <c r="W50" s="586"/>
      <c r="X50" s="586"/>
      <c r="Y50" s="586"/>
      <c r="Z50" s="586"/>
      <c r="AA50" s="98"/>
      <c r="AB50" s="98"/>
      <c r="AC50" s="98"/>
      <c r="AD50" s="98"/>
      <c r="AE50" s="98"/>
      <c r="AF50" s="98"/>
      <c r="AG50" s="98"/>
      <c r="AH50" s="98"/>
      <c r="AI50" s="98"/>
      <c r="AJ50" s="98"/>
      <c r="AK50" s="98"/>
      <c r="AL50" s="98"/>
      <c r="AM50" s="98"/>
      <c r="AN50" s="98"/>
      <c r="AO50" s="98"/>
      <c r="AP50" s="98"/>
      <c r="AQ50" s="98"/>
      <c r="AR50" s="98"/>
      <c r="AS50" s="576"/>
      <c r="AT50" s="576"/>
      <c r="AU50" s="576"/>
      <c r="AV50" s="576"/>
      <c r="AW50" s="577"/>
    </row>
    <row r="51" spans="1:49" x14ac:dyDescent="0.2">
      <c r="A51" s="576"/>
      <c r="B51" s="98"/>
      <c r="C51" s="98"/>
      <c r="D51" s="98"/>
      <c r="E51" s="98"/>
      <c r="F51" s="98"/>
      <c r="G51" s="586"/>
      <c r="H51" s="586"/>
      <c r="I51" s="586"/>
      <c r="J51" s="586"/>
      <c r="K51" s="586"/>
      <c r="L51" s="586"/>
      <c r="M51" s="586"/>
      <c r="N51" s="586"/>
      <c r="O51" s="586"/>
      <c r="P51" s="586"/>
      <c r="Q51" s="586"/>
      <c r="R51" s="586"/>
      <c r="S51" s="586"/>
      <c r="T51" s="586"/>
      <c r="U51" s="586"/>
      <c r="V51" s="586"/>
      <c r="W51" s="586"/>
      <c r="X51" s="586"/>
      <c r="Y51" s="586"/>
      <c r="Z51" s="586"/>
      <c r="AA51" s="98"/>
      <c r="AB51" s="98"/>
      <c r="AC51" s="98"/>
      <c r="AD51" s="98"/>
      <c r="AE51" s="98"/>
      <c r="AF51" s="98"/>
      <c r="AG51" s="98"/>
      <c r="AH51" s="98"/>
      <c r="AI51" s="98"/>
      <c r="AJ51" s="98"/>
      <c r="AK51" s="98"/>
      <c r="AL51" s="98"/>
      <c r="AM51" s="98"/>
      <c r="AN51" s="98"/>
      <c r="AO51" s="98"/>
      <c r="AP51" s="98"/>
      <c r="AQ51" s="98"/>
      <c r="AR51" s="98"/>
      <c r="AS51" s="576"/>
      <c r="AT51" s="576"/>
      <c r="AU51" s="576"/>
      <c r="AV51" s="576"/>
      <c r="AW51" s="577"/>
    </row>
    <row r="52" spans="1:49" x14ac:dyDescent="0.2">
      <c r="A52" s="576"/>
      <c r="B52" s="98"/>
      <c r="C52" s="98"/>
      <c r="D52" s="98"/>
      <c r="E52" s="98"/>
      <c r="F52" s="98"/>
      <c r="G52" s="586"/>
      <c r="H52" s="586"/>
      <c r="I52" s="586"/>
      <c r="J52" s="586"/>
      <c r="K52" s="586"/>
      <c r="L52" s="586"/>
      <c r="M52" s="586"/>
      <c r="N52" s="586"/>
      <c r="O52" s="586"/>
      <c r="P52" s="586"/>
      <c r="Q52" s="586"/>
      <c r="R52" s="586"/>
      <c r="S52" s="586"/>
      <c r="T52" s="586"/>
      <c r="U52" s="586"/>
      <c r="V52" s="586"/>
      <c r="W52" s="586"/>
      <c r="X52" s="586"/>
      <c r="Y52" s="586"/>
      <c r="Z52" s="586"/>
      <c r="AA52" s="98"/>
      <c r="AB52" s="98"/>
      <c r="AC52" s="98"/>
      <c r="AD52" s="98"/>
      <c r="AE52" s="98"/>
      <c r="AF52" s="98"/>
      <c r="AG52" s="98"/>
      <c r="AH52" s="98"/>
      <c r="AI52" s="98"/>
      <c r="AJ52" s="98"/>
      <c r="AK52" s="98"/>
      <c r="AL52" s="98"/>
      <c r="AM52" s="98"/>
      <c r="AN52" s="98"/>
      <c r="AO52" s="98"/>
      <c r="AP52" s="98"/>
      <c r="AQ52" s="98"/>
      <c r="AR52" s="98"/>
      <c r="AS52" s="576"/>
      <c r="AT52" s="576"/>
      <c r="AU52" s="576"/>
      <c r="AV52" s="576"/>
      <c r="AW52" s="577"/>
    </row>
    <row r="53" spans="1:49" x14ac:dyDescent="0.2">
      <c r="A53" s="576"/>
      <c r="B53" s="98"/>
      <c r="C53" s="98"/>
      <c r="D53" s="98"/>
      <c r="E53" s="98"/>
      <c r="F53" s="98"/>
      <c r="G53" s="586"/>
      <c r="H53" s="586"/>
      <c r="I53" s="586"/>
      <c r="J53" s="586"/>
      <c r="K53" s="586"/>
      <c r="L53" s="586"/>
      <c r="M53" s="586"/>
      <c r="N53" s="586"/>
      <c r="O53" s="586"/>
      <c r="P53" s="586"/>
      <c r="Q53" s="586"/>
      <c r="R53" s="586"/>
      <c r="S53" s="586"/>
      <c r="T53" s="586"/>
      <c r="U53" s="586"/>
      <c r="V53" s="586"/>
      <c r="W53" s="586"/>
      <c r="X53" s="586"/>
      <c r="Y53" s="586"/>
      <c r="Z53" s="586"/>
      <c r="AA53" s="98"/>
      <c r="AB53" s="98"/>
      <c r="AC53" s="98"/>
      <c r="AD53" s="98"/>
      <c r="AE53" s="98"/>
      <c r="AF53" s="98"/>
      <c r="AG53" s="98"/>
      <c r="AH53" s="98"/>
      <c r="AI53" s="98"/>
      <c r="AJ53" s="98"/>
      <c r="AK53" s="98"/>
      <c r="AL53" s="98"/>
      <c r="AM53" s="98"/>
      <c r="AN53" s="98"/>
      <c r="AO53" s="98"/>
      <c r="AP53" s="98"/>
      <c r="AQ53" s="98"/>
      <c r="AR53" s="98"/>
      <c r="AS53" s="576"/>
      <c r="AT53" s="576"/>
      <c r="AU53" s="576"/>
      <c r="AV53" s="576"/>
      <c r="AW53" s="577"/>
    </row>
    <row r="54" spans="1:49" x14ac:dyDescent="0.2">
      <c r="A54" s="576"/>
      <c r="B54" s="98"/>
      <c r="C54" s="98"/>
      <c r="D54" s="98"/>
      <c r="E54" s="98"/>
      <c r="F54" s="98"/>
      <c r="G54" s="586"/>
      <c r="H54" s="586"/>
      <c r="I54" s="586"/>
      <c r="J54" s="586"/>
      <c r="K54" s="586"/>
      <c r="L54" s="586"/>
      <c r="M54" s="586"/>
      <c r="N54" s="586"/>
      <c r="O54" s="586"/>
      <c r="P54" s="586"/>
      <c r="Q54" s="586"/>
      <c r="R54" s="586"/>
      <c r="S54" s="586"/>
      <c r="T54" s="586"/>
      <c r="U54" s="586"/>
      <c r="V54" s="586"/>
      <c r="W54" s="586"/>
      <c r="X54" s="586"/>
      <c r="Y54" s="586"/>
      <c r="Z54" s="586"/>
      <c r="AA54" s="98"/>
      <c r="AB54" s="98"/>
      <c r="AC54" s="98"/>
      <c r="AD54" s="98"/>
      <c r="AE54" s="98"/>
      <c r="AF54" s="98"/>
      <c r="AG54" s="98"/>
      <c r="AH54" s="98"/>
      <c r="AI54" s="98"/>
      <c r="AJ54" s="98"/>
      <c r="AK54" s="98"/>
      <c r="AL54" s="98"/>
      <c r="AM54" s="98"/>
      <c r="AN54" s="98"/>
      <c r="AO54" s="98"/>
      <c r="AP54" s="98"/>
      <c r="AQ54" s="98"/>
      <c r="AR54" s="98"/>
      <c r="AS54" s="576"/>
      <c r="AT54" s="576"/>
      <c r="AU54" s="576"/>
      <c r="AV54" s="576"/>
      <c r="AW54" s="577"/>
    </row>
    <row r="55" spans="1:49" x14ac:dyDescent="0.2">
      <c r="A55" s="576"/>
      <c r="B55" s="98"/>
      <c r="C55" s="98"/>
      <c r="D55" s="98"/>
      <c r="E55" s="98"/>
      <c r="F55" s="98"/>
      <c r="G55" s="586"/>
      <c r="H55" s="586"/>
      <c r="I55" s="586"/>
      <c r="J55" s="586"/>
      <c r="K55" s="586"/>
      <c r="L55" s="586"/>
      <c r="M55" s="586"/>
      <c r="N55" s="586"/>
      <c r="O55" s="586"/>
      <c r="P55" s="586"/>
      <c r="Q55" s="586"/>
      <c r="R55" s="586"/>
      <c r="S55" s="586"/>
      <c r="T55" s="586"/>
      <c r="U55" s="586"/>
      <c r="V55" s="586"/>
      <c r="W55" s="586"/>
      <c r="X55" s="586"/>
      <c r="Y55" s="586"/>
      <c r="Z55" s="586"/>
      <c r="AA55" s="98"/>
      <c r="AB55" s="98"/>
      <c r="AC55" s="98"/>
      <c r="AD55" s="98"/>
      <c r="AE55" s="98"/>
      <c r="AF55" s="98"/>
      <c r="AG55" s="98"/>
      <c r="AH55" s="98"/>
      <c r="AI55" s="98"/>
      <c r="AJ55" s="98"/>
      <c r="AK55" s="98"/>
      <c r="AL55" s="98"/>
      <c r="AM55" s="98"/>
      <c r="AN55" s="98"/>
      <c r="AO55" s="98"/>
      <c r="AP55" s="98"/>
      <c r="AQ55" s="98"/>
      <c r="AR55" s="98"/>
      <c r="AS55" s="576"/>
      <c r="AT55" s="576"/>
      <c r="AU55" s="576"/>
      <c r="AV55" s="576"/>
      <c r="AW55" s="577"/>
    </row>
    <row r="56" spans="1:49" x14ac:dyDescent="0.2">
      <c r="A56" s="576"/>
      <c r="B56" s="98"/>
      <c r="C56" s="98"/>
      <c r="D56" s="98"/>
      <c r="E56" s="98"/>
      <c r="F56" s="98"/>
      <c r="G56" s="586"/>
      <c r="H56" s="586"/>
      <c r="I56" s="586"/>
      <c r="J56" s="586"/>
      <c r="K56" s="586"/>
      <c r="L56" s="586"/>
      <c r="M56" s="586"/>
      <c r="N56" s="586"/>
      <c r="O56" s="586"/>
      <c r="P56" s="586"/>
      <c r="Q56" s="586"/>
      <c r="R56" s="586"/>
      <c r="S56" s="586"/>
      <c r="T56" s="586"/>
      <c r="U56" s="586"/>
      <c r="V56" s="586"/>
      <c r="W56" s="586"/>
      <c r="X56" s="586"/>
      <c r="Y56" s="586"/>
      <c r="Z56" s="586"/>
      <c r="AA56" s="98"/>
      <c r="AB56" s="98"/>
      <c r="AC56" s="98"/>
      <c r="AD56" s="98"/>
      <c r="AE56" s="98"/>
      <c r="AF56" s="98"/>
      <c r="AG56" s="98"/>
      <c r="AH56" s="98"/>
      <c r="AI56" s="98"/>
      <c r="AJ56" s="98"/>
      <c r="AK56" s="98"/>
      <c r="AL56" s="98"/>
      <c r="AM56" s="98"/>
      <c r="AN56" s="98"/>
      <c r="AO56" s="98"/>
      <c r="AP56" s="98"/>
      <c r="AQ56" s="98"/>
      <c r="AR56" s="98"/>
      <c r="AS56" s="576"/>
      <c r="AT56" s="576"/>
      <c r="AU56" s="576"/>
      <c r="AV56" s="576"/>
      <c r="AW56" s="577"/>
    </row>
    <row r="57" spans="1:49" x14ac:dyDescent="0.2">
      <c r="A57" s="576"/>
      <c r="B57" s="98"/>
      <c r="C57" s="98"/>
      <c r="D57" s="98"/>
      <c r="E57" s="98"/>
      <c r="F57" s="98"/>
      <c r="G57" s="586"/>
      <c r="H57" s="586"/>
      <c r="I57" s="586"/>
      <c r="J57" s="586"/>
      <c r="K57" s="586"/>
      <c r="L57" s="586"/>
      <c r="M57" s="586"/>
      <c r="N57" s="586"/>
      <c r="O57" s="586"/>
      <c r="P57" s="586"/>
      <c r="Q57" s="586"/>
      <c r="R57" s="586"/>
      <c r="S57" s="586"/>
      <c r="T57" s="586"/>
      <c r="U57" s="586"/>
      <c r="V57" s="586"/>
      <c r="W57" s="586"/>
      <c r="X57" s="586"/>
      <c r="Y57" s="586"/>
      <c r="Z57" s="586"/>
      <c r="AA57" s="98"/>
      <c r="AB57" s="98"/>
      <c r="AC57" s="98"/>
      <c r="AD57" s="98"/>
      <c r="AE57" s="98"/>
      <c r="AF57" s="98"/>
      <c r="AG57" s="98"/>
      <c r="AH57" s="98"/>
      <c r="AI57" s="98"/>
      <c r="AJ57" s="98"/>
      <c r="AK57" s="98"/>
      <c r="AL57" s="98"/>
      <c r="AM57" s="98"/>
      <c r="AN57" s="98"/>
      <c r="AO57" s="98"/>
      <c r="AP57" s="98"/>
      <c r="AQ57" s="98"/>
      <c r="AR57" s="98"/>
      <c r="AS57" s="576"/>
      <c r="AT57" s="576"/>
      <c r="AU57" s="576"/>
      <c r="AV57" s="576"/>
      <c r="AW57" s="577"/>
    </row>
    <row r="58" spans="1:49" x14ac:dyDescent="0.2">
      <c r="A58" s="576"/>
      <c r="B58" s="98"/>
      <c r="C58" s="98"/>
      <c r="D58" s="98"/>
      <c r="E58" s="98"/>
      <c r="F58" s="98"/>
      <c r="G58" s="586"/>
      <c r="H58" s="586"/>
      <c r="I58" s="586"/>
      <c r="J58" s="586"/>
      <c r="K58" s="586"/>
      <c r="L58" s="586"/>
      <c r="M58" s="586"/>
      <c r="N58" s="586"/>
      <c r="O58" s="586"/>
      <c r="P58" s="586"/>
      <c r="Q58" s="586"/>
      <c r="R58" s="586"/>
      <c r="S58" s="586"/>
      <c r="T58" s="586"/>
      <c r="U58" s="586"/>
      <c r="V58" s="586"/>
      <c r="W58" s="586"/>
      <c r="X58" s="586"/>
      <c r="Y58" s="586"/>
      <c r="Z58" s="586"/>
      <c r="AA58" s="98"/>
      <c r="AB58" s="98"/>
      <c r="AC58" s="98"/>
      <c r="AD58" s="98"/>
      <c r="AE58" s="98"/>
      <c r="AF58" s="98"/>
      <c r="AG58" s="98"/>
      <c r="AH58" s="98"/>
      <c r="AI58" s="98"/>
      <c r="AJ58" s="98"/>
      <c r="AK58" s="98"/>
      <c r="AL58" s="98"/>
      <c r="AM58" s="98"/>
      <c r="AN58" s="98"/>
      <c r="AO58" s="98"/>
      <c r="AP58" s="98"/>
      <c r="AQ58" s="98"/>
      <c r="AR58" s="98"/>
      <c r="AS58" s="576"/>
      <c r="AT58" s="576"/>
      <c r="AU58" s="576"/>
      <c r="AV58" s="576"/>
      <c r="AW58" s="577"/>
    </row>
    <row r="59" spans="1:49" x14ac:dyDescent="0.2">
      <c r="A59" s="576"/>
      <c r="B59" s="98"/>
      <c r="C59" s="98"/>
      <c r="D59" s="98"/>
      <c r="E59" s="98"/>
      <c r="F59" s="98"/>
      <c r="G59" s="586"/>
      <c r="H59" s="586"/>
      <c r="I59" s="586"/>
      <c r="J59" s="586"/>
      <c r="K59" s="586"/>
      <c r="L59" s="586"/>
      <c r="M59" s="586"/>
      <c r="N59" s="586"/>
      <c r="O59" s="586"/>
      <c r="P59" s="586"/>
      <c r="Q59" s="586"/>
      <c r="R59" s="586"/>
      <c r="S59" s="586"/>
      <c r="T59" s="586"/>
      <c r="U59" s="586"/>
      <c r="V59" s="586"/>
      <c r="W59" s="586"/>
      <c r="X59" s="586"/>
      <c r="Y59" s="586"/>
      <c r="Z59" s="586"/>
      <c r="AA59" s="98"/>
      <c r="AB59" s="98"/>
      <c r="AC59" s="98"/>
      <c r="AD59" s="98"/>
      <c r="AE59" s="98"/>
      <c r="AF59" s="98"/>
      <c r="AG59" s="98"/>
      <c r="AH59" s="98"/>
      <c r="AI59" s="98"/>
      <c r="AJ59" s="98"/>
      <c r="AK59" s="98"/>
      <c r="AL59" s="98"/>
      <c r="AM59" s="98"/>
      <c r="AN59" s="98"/>
      <c r="AO59" s="98"/>
      <c r="AP59" s="98"/>
      <c r="AQ59" s="98"/>
      <c r="AR59" s="98"/>
      <c r="AS59" s="576"/>
      <c r="AT59" s="576"/>
      <c r="AU59" s="576"/>
      <c r="AV59" s="576"/>
      <c r="AW59" s="577"/>
    </row>
    <row r="60" spans="1:49" x14ac:dyDescent="0.2">
      <c r="A60" s="576"/>
      <c r="B60" s="98"/>
      <c r="C60" s="98"/>
      <c r="D60" s="98"/>
      <c r="E60" s="98"/>
      <c r="F60" s="98"/>
      <c r="G60" s="586"/>
      <c r="H60" s="586"/>
      <c r="I60" s="586"/>
      <c r="J60" s="586"/>
      <c r="K60" s="586"/>
      <c r="L60" s="586"/>
      <c r="M60" s="586"/>
      <c r="N60" s="586"/>
      <c r="O60" s="586"/>
      <c r="P60" s="586"/>
      <c r="Q60" s="586"/>
      <c r="R60" s="586"/>
      <c r="S60" s="586"/>
      <c r="T60" s="586"/>
      <c r="U60" s="586"/>
      <c r="V60" s="586"/>
      <c r="W60" s="586"/>
      <c r="X60" s="586"/>
      <c r="Y60" s="586"/>
      <c r="Z60" s="586"/>
      <c r="AA60" s="98"/>
      <c r="AB60" s="98"/>
      <c r="AC60" s="98"/>
      <c r="AD60" s="98"/>
      <c r="AE60" s="98"/>
      <c r="AF60" s="98"/>
      <c r="AG60" s="98"/>
      <c r="AH60" s="98"/>
      <c r="AI60" s="98"/>
      <c r="AJ60" s="98"/>
      <c r="AK60" s="98"/>
      <c r="AL60" s="98"/>
      <c r="AM60" s="98"/>
      <c r="AN60" s="98"/>
      <c r="AO60" s="98"/>
      <c r="AP60" s="98"/>
      <c r="AQ60" s="98"/>
      <c r="AR60" s="98"/>
      <c r="AS60" s="576"/>
      <c r="AT60" s="576"/>
      <c r="AU60" s="576"/>
      <c r="AV60" s="576"/>
      <c r="AW60" s="577"/>
    </row>
    <row r="61" spans="1:49" x14ac:dyDescent="0.2">
      <c r="A61" s="576"/>
      <c r="B61" s="98"/>
      <c r="C61" s="98"/>
      <c r="D61" s="98"/>
      <c r="E61" s="98"/>
      <c r="F61" s="98"/>
      <c r="G61" s="586"/>
      <c r="H61" s="586"/>
      <c r="I61" s="586"/>
      <c r="J61" s="586"/>
      <c r="K61" s="586"/>
      <c r="L61" s="586"/>
      <c r="M61" s="586"/>
      <c r="N61" s="586"/>
      <c r="O61" s="586"/>
      <c r="P61" s="586"/>
      <c r="Q61" s="586"/>
      <c r="R61" s="586"/>
      <c r="S61" s="586"/>
      <c r="T61" s="586"/>
      <c r="U61" s="586"/>
      <c r="V61" s="586"/>
      <c r="W61" s="586"/>
      <c r="X61" s="586"/>
      <c r="Y61" s="586"/>
      <c r="Z61" s="586"/>
      <c r="AA61" s="98"/>
      <c r="AB61" s="98"/>
      <c r="AC61" s="98"/>
      <c r="AD61" s="98"/>
      <c r="AE61" s="98"/>
      <c r="AF61" s="98"/>
      <c r="AG61" s="98"/>
      <c r="AH61" s="98"/>
      <c r="AI61" s="98"/>
      <c r="AJ61" s="98"/>
      <c r="AK61" s="98"/>
      <c r="AL61" s="98"/>
      <c r="AM61" s="98"/>
      <c r="AN61" s="98"/>
      <c r="AO61" s="98"/>
      <c r="AP61" s="98"/>
      <c r="AQ61" s="98"/>
      <c r="AR61" s="98"/>
      <c r="AS61" s="576"/>
      <c r="AT61" s="576"/>
      <c r="AU61" s="576"/>
      <c r="AV61" s="576"/>
      <c r="AW61" s="577"/>
    </row>
    <row r="62" spans="1:49" x14ac:dyDescent="0.2">
      <c r="A62" s="576"/>
      <c r="B62" s="98"/>
      <c r="C62" s="98"/>
      <c r="D62" s="98"/>
      <c r="E62" s="98"/>
      <c r="F62" s="98"/>
      <c r="G62" s="586"/>
      <c r="H62" s="586"/>
      <c r="I62" s="586"/>
      <c r="J62" s="586"/>
      <c r="K62" s="586"/>
      <c r="L62" s="586"/>
      <c r="M62" s="586"/>
      <c r="N62" s="586"/>
      <c r="O62" s="586"/>
      <c r="P62" s="586"/>
      <c r="Q62" s="586"/>
      <c r="R62" s="586"/>
      <c r="S62" s="586"/>
      <c r="T62" s="586"/>
      <c r="U62" s="586"/>
      <c r="V62" s="586"/>
      <c r="W62" s="586"/>
      <c r="X62" s="586"/>
      <c r="Y62" s="586"/>
      <c r="Z62" s="586"/>
      <c r="AA62" s="98"/>
      <c r="AB62" s="98"/>
      <c r="AC62" s="98"/>
      <c r="AD62" s="98"/>
      <c r="AE62" s="98"/>
      <c r="AF62" s="98"/>
      <c r="AG62" s="98"/>
      <c r="AH62" s="98"/>
      <c r="AI62" s="98"/>
      <c r="AJ62" s="98"/>
      <c r="AK62" s="98"/>
      <c r="AL62" s="98"/>
      <c r="AM62" s="98"/>
      <c r="AN62" s="98"/>
      <c r="AO62" s="98"/>
      <c r="AP62" s="98"/>
      <c r="AQ62" s="98"/>
      <c r="AR62" s="98"/>
      <c r="AS62" s="576"/>
      <c r="AT62" s="576"/>
      <c r="AU62" s="576"/>
      <c r="AV62" s="576"/>
      <c r="AW62" s="577"/>
    </row>
    <row r="63" spans="1:49" x14ac:dyDescent="0.2">
      <c r="A63" s="576"/>
      <c r="B63" s="98"/>
      <c r="C63" s="98"/>
      <c r="D63" s="98"/>
      <c r="E63" s="98"/>
      <c r="F63" s="98"/>
      <c r="G63" s="586"/>
      <c r="H63" s="586"/>
      <c r="I63" s="586"/>
      <c r="J63" s="586"/>
      <c r="K63" s="586"/>
      <c r="L63" s="586"/>
      <c r="M63" s="586"/>
      <c r="N63" s="586"/>
      <c r="O63" s="586"/>
      <c r="P63" s="586"/>
      <c r="Q63" s="586"/>
      <c r="R63" s="586"/>
      <c r="S63" s="586"/>
      <c r="T63" s="586"/>
      <c r="U63" s="586"/>
      <c r="V63" s="586"/>
      <c r="W63" s="586"/>
      <c r="X63" s="586"/>
      <c r="Y63" s="586"/>
      <c r="Z63" s="586"/>
      <c r="AA63" s="98"/>
      <c r="AB63" s="98"/>
      <c r="AC63" s="98"/>
      <c r="AD63" s="98"/>
      <c r="AE63" s="98"/>
      <c r="AF63" s="98"/>
      <c r="AG63" s="98"/>
      <c r="AH63" s="98"/>
      <c r="AI63" s="98"/>
      <c r="AJ63" s="98"/>
      <c r="AK63" s="98"/>
      <c r="AL63" s="98"/>
      <c r="AM63" s="98"/>
      <c r="AN63" s="98"/>
      <c r="AO63" s="98"/>
      <c r="AP63" s="98"/>
      <c r="AQ63" s="98"/>
      <c r="AR63" s="98"/>
      <c r="AS63" s="576"/>
      <c r="AT63" s="576"/>
      <c r="AU63" s="576"/>
      <c r="AV63" s="576"/>
      <c r="AW63" s="577"/>
    </row>
    <row r="64" spans="1:49" x14ac:dyDescent="0.2">
      <c r="A64" s="576"/>
      <c r="B64" s="98"/>
      <c r="C64" s="98"/>
      <c r="D64" s="98"/>
      <c r="E64" s="98"/>
      <c r="F64" s="98"/>
      <c r="G64" s="586"/>
      <c r="H64" s="586"/>
      <c r="I64" s="586"/>
      <c r="J64" s="586"/>
      <c r="K64" s="586"/>
      <c r="L64" s="586"/>
      <c r="M64" s="586"/>
      <c r="N64" s="586"/>
      <c r="O64" s="586"/>
      <c r="P64" s="586"/>
      <c r="Q64" s="586"/>
      <c r="R64" s="586"/>
      <c r="S64" s="586"/>
      <c r="T64" s="586"/>
      <c r="U64" s="586"/>
      <c r="V64" s="586"/>
      <c r="W64" s="586"/>
      <c r="X64" s="586"/>
      <c r="Y64" s="586"/>
      <c r="Z64" s="586"/>
      <c r="AA64" s="98"/>
      <c r="AB64" s="98"/>
      <c r="AC64" s="98"/>
      <c r="AD64" s="98"/>
      <c r="AE64" s="98"/>
      <c r="AF64" s="98"/>
      <c r="AG64" s="98"/>
      <c r="AH64" s="98"/>
      <c r="AI64" s="98"/>
      <c r="AJ64" s="98"/>
      <c r="AK64" s="98"/>
      <c r="AL64" s="98"/>
      <c r="AM64" s="98"/>
      <c r="AN64" s="98"/>
      <c r="AO64" s="98"/>
      <c r="AP64" s="98"/>
      <c r="AQ64" s="98"/>
      <c r="AR64" s="98"/>
      <c r="AS64" s="576"/>
      <c r="AT64" s="576"/>
      <c r="AU64" s="576"/>
      <c r="AV64" s="576"/>
      <c r="AW64" s="577"/>
    </row>
    <row r="65" spans="1:49" x14ac:dyDescent="0.2">
      <c r="A65" s="576"/>
      <c r="B65" s="98"/>
      <c r="C65" s="98"/>
      <c r="D65" s="98"/>
      <c r="E65" s="98"/>
      <c r="F65" s="98"/>
      <c r="G65" s="586"/>
      <c r="H65" s="586"/>
      <c r="I65" s="586"/>
      <c r="J65" s="586"/>
      <c r="K65" s="586"/>
      <c r="L65" s="586"/>
      <c r="M65" s="586"/>
      <c r="N65" s="586"/>
      <c r="O65" s="586"/>
      <c r="P65" s="586"/>
      <c r="Q65" s="586"/>
      <c r="R65" s="586"/>
      <c r="S65" s="586"/>
      <c r="T65" s="586"/>
      <c r="U65" s="586"/>
      <c r="V65" s="586"/>
      <c r="W65" s="586"/>
      <c r="X65" s="586"/>
      <c r="Y65" s="586"/>
      <c r="Z65" s="586"/>
      <c r="AA65" s="98"/>
      <c r="AB65" s="98"/>
      <c r="AC65" s="98"/>
      <c r="AD65" s="98"/>
      <c r="AE65" s="98"/>
      <c r="AF65" s="98"/>
      <c r="AG65" s="98"/>
      <c r="AH65" s="98"/>
      <c r="AI65" s="98"/>
      <c r="AJ65" s="98"/>
      <c r="AK65" s="98"/>
      <c r="AL65" s="98"/>
      <c r="AM65" s="98"/>
      <c r="AN65" s="98"/>
      <c r="AO65" s="98"/>
      <c r="AP65" s="98"/>
      <c r="AQ65" s="98"/>
      <c r="AR65" s="98"/>
      <c r="AS65" s="576"/>
      <c r="AT65" s="576"/>
      <c r="AU65" s="576"/>
      <c r="AV65" s="576"/>
      <c r="AW65" s="577"/>
    </row>
    <row r="66" spans="1:49" x14ac:dyDescent="0.2">
      <c r="A66" s="576"/>
      <c r="B66" s="98"/>
      <c r="C66" s="98"/>
      <c r="D66" s="98"/>
      <c r="E66" s="98"/>
      <c r="F66" s="98"/>
      <c r="G66" s="586"/>
      <c r="H66" s="586"/>
      <c r="I66" s="586"/>
      <c r="J66" s="586"/>
      <c r="K66" s="586"/>
      <c r="L66" s="586"/>
      <c r="M66" s="586"/>
      <c r="N66" s="586"/>
      <c r="O66" s="586"/>
      <c r="P66" s="586"/>
      <c r="Q66" s="586"/>
      <c r="R66" s="586"/>
      <c r="S66" s="586"/>
      <c r="T66" s="586"/>
      <c r="U66" s="586"/>
      <c r="V66" s="586"/>
      <c r="W66" s="586"/>
      <c r="X66" s="586"/>
      <c r="Y66" s="586"/>
      <c r="Z66" s="586"/>
      <c r="AA66" s="98"/>
      <c r="AB66" s="98"/>
      <c r="AC66" s="98"/>
      <c r="AD66" s="98"/>
      <c r="AE66" s="98"/>
      <c r="AF66" s="98"/>
      <c r="AG66" s="98"/>
      <c r="AH66" s="98"/>
      <c r="AI66" s="98"/>
      <c r="AJ66" s="98"/>
      <c r="AK66" s="98"/>
      <c r="AL66" s="98"/>
      <c r="AM66" s="98"/>
      <c r="AN66" s="98"/>
      <c r="AO66" s="98"/>
      <c r="AP66" s="98"/>
      <c r="AQ66" s="98"/>
      <c r="AR66" s="98"/>
      <c r="AS66" s="576"/>
      <c r="AT66" s="576"/>
      <c r="AU66" s="576"/>
      <c r="AV66" s="576"/>
      <c r="AW66" s="577"/>
    </row>
    <row r="67" spans="1:49" x14ac:dyDescent="0.2">
      <c r="A67" s="576"/>
      <c r="B67" s="98"/>
      <c r="C67" s="98"/>
      <c r="D67" s="98"/>
      <c r="E67" s="98"/>
      <c r="F67" s="98"/>
      <c r="G67" s="586"/>
      <c r="H67" s="586"/>
      <c r="I67" s="586"/>
      <c r="J67" s="586"/>
      <c r="K67" s="586"/>
      <c r="L67" s="586"/>
      <c r="M67" s="586"/>
      <c r="N67" s="586"/>
      <c r="O67" s="586"/>
      <c r="P67" s="586"/>
      <c r="Q67" s="586"/>
      <c r="R67" s="586"/>
      <c r="S67" s="586"/>
      <c r="T67" s="586"/>
      <c r="U67" s="586"/>
      <c r="V67" s="586"/>
      <c r="W67" s="586"/>
      <c r="X67" s="586"/>
      <c r="Y67" s="586"/>
      <c r="Z67" s="586"/>
      <c r="AA67" s="98"/>
      <c r="AB67" s="98"/>
      <c r="AC67" s="98"/>
      <c r="AD67" s="98"/>
      <c r="AE67" s="98"/>
      <c r="AF67" s="98"/>
      <c r="AG67" s="98"/>
      <c r="AH67" s="98"/>
      <c r="AI67" s="98"/>
      <c r="AJ67" s="98"/>
      <c r="AK67" s="98"/>
      <c r="AL67" s="98"/>
      <c r="AM67" s="98"/>
      <c r="AN67" s="98"/>
      <c r="AO67" s="98"/>
      <c r="AP67" s="98"/>
      <c r="AQ67" s="98"/>
      <c r="AR67" s="98"/>
      <c r="AS67" s="576"/>
      <c r="AT67" s="576"/>
      <c r="AU67" s="576"/>
      <c r="AV67" s="576"/>
      <c r="AW67" s="577"/>
    </row>
    <row r="68" spans="1:49" x14ac:dyDescent="0.2">
      <c r="A68" s="576"/>
      <c r="B68" s="98"/>
      <c r="C68" s="98"/>
      <c r="D68" s="98"/>
      <c r="E68" s="98"/>
      <c r="F68" s="98"/>
      <c r="G68" s="586"/>
      <c r="H68" s="586"/>
      <c r="I68" s="586"/>
      <c r="J68" s="586"/>
      <c r="K68" s="586"/>
      <c r="L68" s="586"/>
      <c r="M68" s="586"/>
      <c r="N68" s="586"/>
      <c r="O68" s="586"/>
      <c r="P68" s="586"/>
      <c r="Q68" s="586"/>
      <c r="R68" s="586"/>
      <c r="S68" s="586"/>
      <c r="T68" s="586"/>
      <c r="U68" s="586"/>
      <c r="V68" s="586"/>
      <c r="W68" s="586"/>
      <c r="X68" s="586"/>
      <c r="Y68" s="586"/>
      <c r="Z68" s="586"/>
      <c r="AA68" s="98"/>
      <c r="AB68" s="98"/>
      <c r="AC68" s="98"/>
      <c r="AD68" s="98"/>
      <c r="AE68" s="98"/>
      <c r="AF68" s="98"/>
      <c r="AG68" s="98"/>
      <c r="AH68" s="98"/>
      <c r="AI68" s="98"/>
      <c r="AJ68" s="98"/>
      <c r="AK68" s="98"/>
      <c r="AL68" s="98"/>
      <c r="AM68" s="98"/>
      <c r="AN68" s="98"/>
      <c r="AO68" s="98"/>
      <c r="AP68" s="98"/>
      <c r="AQ68" s="98"/>
      <c r="AR68" s="98"/>
      <c r="AS68" s="576"/>
      <c r="AT68" s="576"/>
      <c r="AU68" s="576"/>
      <c r="AV68" s="576"/>
      <c r="AW68" s="577"/>
    </row>
    <row r="69" spans="1:49" x14ac:dyDescent="0.2">
      <c r="A69" s="576"/>
      <c r="B69" s="98"/>
      <c r="C69" s="98"/>
      <c r="D69" s="98"/>
      <c r="E69" s="98"/>
      <c r="F69" s="98"/>
      <c r="G69" s="586"/>
      <c r="H69" s="586"/>
      <c r="I69" s="586"/>
      <c r="J69" s="586"/>
      <c r="K69" s="586"/>
      <c r="L69" s="586"/>
      <c r="M69" s="586"/>
      <c r="N69" s="586"/>
      <c r="O69" s="586"/>
      <c r="P69" s="586"/>
      <c r="Q69" s="586"/>
      <c r="R69" s="586"/>
      <c r="S69" s="586"/>
      <c r="T69" s="586"/>
      <c r="U69" s="586"/>
      <c r="V69" s="586"/>
      <c r="W69" s="586"/>
      <c r="X69" s="586"/>
      <c r="Y69" s="586"/>
      <c r="Z69" s="586"/>
      <c r="AA69" s="98"/>
      <c r="AB69" s="98"/>
      <c r="AC69" s="98"/>
      <c r="AD69" s="98"/>
      <c r="AE69" s="98"/>
      <c r="AF69" s="98"/>
      <c r="AG69" s="98"/>
      <c r="AH69" s="98"/>
      <c r="AI69" s="98"/>
      <c r="AJ69" s="98"/>
      <c r="AK69" s="98"/>
      <c r="AL69" s="98"/>
      <c r="AM69" s="98"/>
      <c r="AN69" s="98"/>
      <c r="AO69" s="98"/>
      <c r="AP69" s="98"/>
      <c r="AQ69" s="98"/>
      <c r="AR69" s="98"/>
      <c r="AS69" s="576"/>
      <c r="AT69" s="576"/>
      <c r="AU69" s="576"/>
      <c r="AV69" s="576"/>
      <c r="AW69" s="577"/>
    </row>
    <row r="70" spans="1:49" x14ac:dyDescent="0.2">
      <c r="A70" s="576"/>
      <c r="B70" s="98"/>
      <c r="C70" s="98"/>
      <c r="D70" s="98"/>
      <c r="E70" s="98"/>
      <c r="F70" s="98"/>
      <c r="G70" s="586"/>
      <c r="H70" s="586"/>
      <c r="I70" s="586"/>
      <c r="J70" s="586"/>
      <c r="K70" s="586"/>
      <c r="L70" s="586"/>
      <c r="M70" s="586"/>
      <c r="N70" s="586"/>
      <c r="O70" s="586"/>
      <c r="P70" s="586"/>
      <c r="Q70" s="586"/>
      <c r="R70" s="586"/>
      <c r="S70" s="586"/>
      <c r="T70" s="586"/>
      <c r="U70" s="586"/>
      <c r="V70" s="586"/>
      <c r="W70" s="586"/>
      <c r="X70" s="586"/>
      <c r="Y70" s="586"/>
      <c r="Z70" s="586"/>
      <c r="AA70" s="98"/>
      <c r="AB70" s="98"/>
      <c r="AC70" s="98"/>
      <c r="AD70" s="98"/>
      <c r="AE70" s="98"/>
      <c r="AF70" s="98"/>
      <c r="AG70" s="98"/>
      <c r="AH70" s="98"/>
      <c r="AI70" s="98"/>
      <c r="AJ70" s="98"/>
      <c r="AK70" s="98"/>
      <c r="AL70" s="98"/>
      <c r="AM70" s="98"/>
      <c r="AN70" s="98"/>
      <c r="AO70" s="98"/>
      <c r="AP70" s="98"/>
      <c r="AQ70" s="98"/>
      <c r="AR70" s="98"/>
      <c r="AS70" s="576"/>
      <c r="AT70" s="576"/>
      <c r="AU70" s="576"/>
      <c r="AV70" s="576"/>
      <c r="AW70" s="577"/>
    </row>
    <row r="71" spans="1:49" x14ac:dyDescent="0.2">
      <c r="A71" s="576"/>
      <c r="B71" s="98"/>
      <c r="C71" s="98"/>
      <c r="D71" s="98"/>
      <c r="E71" s="98"/>
      <c r="F71" s="98"/>
      <c r="G71" s="586"/>
      <c r="H71" s="586"/>
      <c r="I71" s="586"/>
      <c r="J71" s="586"/>
      <c r="K71" s="586"/>
      <c r="L71" s="586"/>
      <c r="M71" s="586"/>
      <c r="N71" s="586"/>
      <c r="O71" s="586"/>
      <c r="P71" s="586"/>
      <c r="Q71" s="586"/>
      <c r="R71" s="586"/>
      <c r="S71" s="586"/>
      <c r="T71" s="586"/>
      <c r="U71" s="586"/>
      <c r="V71" s="586"/>
      <c r="W71" s="586"/>
      <c r="X71" s="586"/>
      <c r="Y71" s="586"/>
      <c r="Z71" s="586"/>
      <c r="AA71" s="98"/>
      <c r="AB71" s="98"/>
      <c r="AC71" s="98"/>
      <c r="AD71" s="98"/>
      <c r="AE71" s="98"/>
      <c r="AF71" s="98"/>
      <c r="AG71" s="98"/>
      <c r="AH71" s="98"/>
      <c r="AI71" s="98"/>
      <c r="AJ71" s="98"/>
      <c r="AK71" s="98"/>
      <c r="AL71" s="98"/>
      <c r="AM71" s="98"/>
      <c r="AN71" s="98"/>
      <c r="AO71" s="98"/>
      <c r="AP71" s="98"/>
      <c r="AQ71" s="98"/>
      <c r="AR71" s="98"/>
      <c r="AS71" s="576"/>
      <c r="AT71" s="576"/>
      <c r="AU71" s="576"/>
      <c r="AV71" s="576"/>
      <c r="AW71" s="577"/>
    </row>
    <row r="72" spans="1:49" x14ac:dyDescent="0.2">
      <c r="A72" s="576"/>
      <c r="B72" s="98"/>
      <c r="C72" s="98"/>
      <c r="D72" s="98"/>
      <c r="E72" s="98"/>
      <c r="F72" s="98"/>
      <c r="G72" s="586"/>
      <c r="H72" s="586"/>
      <c r="I72" s="586"/>
      <c r="J72" s="586"/>
      <c r="K72" s="586"/>
      <c r="L72" s="586"/>
      <c r="M72" s="586"/>
      <c r="N72" s="586"/>
      <c r="O72" s="586"/>
      <c r="P72" s="586"/>
      <c r="Q72" s="586"/>
      <c r="R72" s="586"/>
      <c r="S72" s="586"/>
      <c r="T72" s="586"/>
      <c r="U72" s="586"/>
      <c r="V72" s="586"/>
      <c r="W72" s="586"/>
      <c r="X72" s="586"/>
      <c r="Y72" s="586"/>
      <c r="Z72" s="586"/>
      <c r="AA72" s="98"/>
      <c r="AB72" s="98"/>
      <c r="AC72" s="98"/>
      <c r="AD72" s="98"/>
      <c r="AE72" s="98"/>
      <c r="AF72" s="98"/>
      <c r="AG72" s="98"/>
      <c r="AH72" s="98"/>
      <c r="AI72" s="98"/>
      <c r="AJ72" s="98"/>
      <c r="AK72" s="98"/>
      <c r="AL72" s="98"/>
      <c r="AM72" s="98"/>
      <c r="AN72" s="98"/>
      <c r="AO72" s="98"/>
      <c r="AP72" s="98"/>
      <c r="AQ72" s="98"/>
      <c r="AR72" s="98"/>
      <c r="AS72" s="576"/>
      <c r="AT72" s="576"/>
      <c r="AU72" s="576"/>
      <c r="AV72" s="576"/>
      <c r="AW72" s="577"/>
    </row>
    <row r="73" spans="1:49" x14ac:dyDescent="0.2">
      <c r="A73" s="576"/>
      <c r="B73" s="98"/>
      <c r="C73" s="98"/>
      <c r="D73" s="98"/>
      <c r="E73" s="98"/>
      <c r="F73" s="98"/>
      <c r="G73" s="586"/>
      <c r="H73" s="586"/>
      <c r="I73" s="586"/>
      <c r="J73" s="586"/>
      <c r="K73" s="586"/>
      <c r="L73" s="586"/>
      <c r="M73" s="586"/>
      <c r="N73" s="586"/>
      <c r="O73" s="586"/>
      <c r="P73" s="586"/>
      <c r="Q73" s="586"/>
      <c r="R73" s="586"/>
      <c r="S73" s="586"/>
      <c r="T73" s="586"/>
      <c r="U73" s="586"/>
      <c r="V73" s="586"/>
      <c r="W73" s="586"/>
      <c r="X73" s="586"/>
      <c r="Y73" s="586"/>
      <c r="Z73" s="586"/>
      <c r="AA73" s="98"/>
      <c r="AB73" s="98"/>
      <c r="AC73" s="98"/>
      <c r="AD73" s="98"/>
      <c r="AE73" s="98"/>
      <c r="AF73" s="98"/>
      <c r="AG73" s="98"/>
      <c r="AH73" s="98"/>
      <c r="AI73" s="98"/>
      <c r="AJ73" s="98"/>
      <c r="AK73" s="98"/>
      <c r="AL73" s="98"/>
      <c r="AM73" s="98"/>
      <c r="AN73" s="98"/>
      <c r="AO73" s="98"/>
      <c r="AP73" s="98"/>
      <c r="AQ73" s="98"/>
      <c r="AR73" s="98"/>
      <c r="AS73" s="576"/>
      <c r="AT73" s="576"/>
      <c r="AU73" s="576"/>
      <c r="AV73" s="576"/>
      <c r="AW73" s="577"/>
    </row>
    <row r="74" spans="1:49" x14ac:dyDescent="0.2">
      <c r="A74" s="576"/>
      <c r="B74" s="98"/>
      <c r="C74" s="98"/>
      <c r="D74" s="98"/>
      <c r="E74" s="98"/>
      <c r="F74" s="98"/>
      <c r="G74" s="586"/>
      <c r="H74" s="586"/>
      <c r="I74" s="586"/>
      <c r="J74" s="586"/>
      <c r="K74" s="586"/>
      <c r="L74" s="586"/>
      <c r="M74" s="586"/>
      <c r="N74" s="586"/>
      <c r="O74" s="586"/>
      <c r="P74" s="586"/>
      <c r="Q74" s="586"/>
      <c r="R74" s="586"/>
      <c r="S74" s="586"/>
      <c r="T74" s="586"/>
      <c r="U74" s="586"/>
      <c r="V74" s="586"/>
      <c r="W74" s="586"/>
      <c r="X74" s="586"/>
      <c r="Y74" s="586"/>
      <c r="Z74" s="586"/>
      <c r="AA74" s="98"/>
      <c r="AB74" s="98"/>
      <c r="AC74" s="98"/>
      <c r="AD74" s="98"/>
      <c r="AE74" s="98"/>
      <c r="AF74" s="98"/>
      <c r="AG74" s="98"/>
      <c r="AH74" s="98"/>
      <c r="AI74" s="98"/>
      <c r="AJ74" s="98"/>
      <c r="AK74" s="98"/>
      <c r="AL74" s="98"/>
      <c r="AM74" s="98"/>
      <c r="AN74" s="98"/>
      <c r="AO74" s="98"/>
      <c r="AP74" s="98"/>
      <c r="AQ74" s="98"/>
      <c r="AR74" s="98"/>
      <c r="AS74" s="576"/>
      <c r="AT74" s="576"/>
      <c r="AU74" s="576"/>
      <c r="AV74" s="576"/>
      <c r="AW74" s="577"/>
    </row>
    <row r="75" spans="1:49" x14ac:dyDescent="0.2">
      <c r="A75" s="576"/>
      <c r="B75" s="98"/>
      <c r="C75" s="98"/>
      <c r="D75" s="98"/>
      <c r="E75" s="98"/>
      <c r="F75" s="98"/>
      <c r="G75" s="586"/>
      <c r="H75" s="586"/>
      <c r="I75" s="586"/>
      <c r="J75" s="586"/>
      <c r="K75" s="586"/>
      <c r="L75" s="586"/>
      <c r="M75" s="586"/>
      <c r="N75" s="586"/>
      <c r="O75" s="586"/>
      <c r="P75" s="586"/>
      <c r="Q75" s="586"/>
      <c r="R75" s="586"/>
      <c r="S75" s="586"/>
      <c r="T75" s="586"/>
      <c r="U75" s="586"/>
      <c r="V75" s="586"/>
      <c r="W75" s="586"/>
      <c r="X75" s="586"/>
      <c r="Y75" s="586"/>
      <c r="Z75" s="586"/>
      <c r="AA75" s="98"/>
      <c r="AB75" s="98"/>
      <c r="AC75" s="98"/>
      <c r="AD75" s="98"/>
      <c r="AE75" s="98"/>
      <c r="AF75" s="98"/>
      <c r="AG75" s="98"/>
      <c r="AH75" s="98"/>
      <c r="AI75" s="98"/>
      <c r="AJ75" s="98"/>
      <c r="AK75" s="98"/>
      <c r="AL75" s="98"/>
      <c r="AM75" s="98"/>
      <c r="AN75" s="98"/>
      <c r="AO75" s="98"/>
      <c r="AP75" s="98"/>
      <c r="AQ75" s="98"/>
      <c r="AR75" s="98"/>
      <c r="AS75" s="576"/>
      <c r="AT75" s="576"/>
      <c r="AU75" s="576"/>
      <c r="AV75" s="576"/>
      <c r="AW75" s="577"/>
    </row>
    <row r="76" spans="1:49" x14ac:dyDescent="0.2">
      <c r="A76" s="576"/>
      <c r="B76" s="98"/>
      <c r="C76" s="98"/>
      <c r="D76" s="98"/>
      <c r="E76" s="98"/>
      <c r="F76" s="98"/>
      <c r="G76" s="586"/>
      <c r="H76" s="586"/>
      <c r="I76" s="586"/>
      <c r="J76" s="586"/>
      <c r="K76" s="586"/>
      <c r="L76" s="586"/>
      <c r="M76" s="586"/>
      <c r="N76" s="586"/>
      <c r="O76" s="586"/>
      <c r="P76" s="586"/>
      <c r="Q76" s="586"/>
      <c r="R76" s="586"/>
      <c r="S76" s="586"/>
      <c r="T76" s="586"/>
      <c r="U76" s="586"/>
      <c r="V76" s="586"/>
      <c r="W76" s="586"/>
      <c r="X76" s="586"/>
      <c r="Y76" s="586"/>
      <c r="Z76" s="586"/>
      <c r="AA76" s="98"/>
      <c r="AB76" s="98"/>
      <c r="AC76" s="98"/>
      <c r="AD76" s="98"/>
      <c r="AE76" s="98"/>
      <c r="AF76" s="98"/>
      <c r="AG76" s="98"/>
      <c r="AH76" s="98"/>
      <c r="AI76" s="98"/>
      <c r="AJ76" s="98"/>
      <c r="AK76" s="98"/>
      <c r="AL76" s="98"/>
      <c r="AM76" s="98"/>
      <c r="AN76" s="98"/>
      <c r="AO76" s="98"/>
      <c r="AP76" s="98"/>
      <c r="AQ76" s="98"/>
      <c r="AR76" s="98"/>
      <c r="AS76" s="576"/>
      <c r="AT76" s="576"/>
      <c r="AU76" s="576"/>
      <c r="AV76" s="576"/>
      <c r="AW76" s="577"/>
    </row>
    <row r="77" spans="1:49" x14ac:dyDescent="0.2">
      <c r="A77" s="576"/>
      <c r="B77" s="98"/>
      <c r="C77" s="98"/>
      <c r="D77" s="98"/>
      <c r="E77" s="98"/>
      <c r="F77" s="98"/>
      <c r="G77" s="586"/>
      <c r="H77" s="586"/>
      <c r="I77" s="586"/>
      <c r="J77" s="586"/>
      <c r="K77" s="586"/>
      <c r="L77" s="586"/>
      <c r="M77" s="586"/>
      <c r="N77" s="586"/>
      <c r="O77" s="586"/>
      <c r="P77" s="586"/>
      <c r="Q77" s="586"/>
      <c r="R77" s="586"/>
      <c r="S77" s="586"/>
      <c r="T77" s="586"/>
      <c r="U77" s="586"/>
      <c r="V77" s="586"/>
      <c r="W77" s="586"/>
      <c r="X77" s="586"/>
      <c r="Y77" s="586"/>
      <c r="Z77" s="586"/>
      <c r="AA77" s="98"/>
      <c r="AB77" s="98"/>
      <c r="AC77" s="98"/>
      <c r="AD77" s="98"/>
      <c r="AE77" s="98"/>
      <c r="AF77" s="98"/>
      <c r="AG77" s="98"/>
      <c r="AH77" s="98"/>
      <c r="AI77" s="98"/>
      <c r="AJ77" s="98"/>
      <c r="AK77" s="98"/>
      <c r="AL77" s="98"/>
      <c r="AM77" s="98"/>
      <c r="AN77" s="98"/>
      <c r="AO77" s="98"/>
      <c r="AP77" s="98"/>
      <c r="AQ77" s="98"/>
      <c r="AR77" s="98"/>
      <c r="AS77" s="576"/>
      <c r="AT77" s="576"/>
      <c r="AU77" s="576"/>
      <c r="AV77" s="576"/>
      <c r="AW77" s="577"/>
    </row>
    <row r="78" spans="1:49" x14ac:dyDescent="0.2">
      <c r="A78" s="576"/>
      <c r="B78" s="98"/>
      <c r="C78" s="98"/>
      <c r="D78" s="98"/>
      <c r="E78" s="98"/>
      <c r="F78" s="98"/>
      <c r="G78" s="586"/>
      <c r="H78" s="586"/>
      <c r="I78" s="586"/>
      <c r="J78" s="586"/>
      <c r="K78" s="586"/>
      <c r="L78" s="586"/>
      <c r="M78" s="586"/>
      <c r="N78" s="586"/>
      <c r="O78" s="586"/>
      <c r="P78" s="586"/>
      <c r="Q78" s="586"/>
      <c r="R78" s="586"/>
      <c r="S78" s="586"/>
      <c r="T78" s="586"/>
      <c r="U78" s="586"/>
      <c r="V78" s="586"/>
      <c r="W78" s="586"/>
      <c r="X78" s="586"/>
      <c r="Y78" s="586"/>
      <c r="Z78" s="586"/>
      <c r="AA78" s="98"/>
      <c r="AB78" s="98"/>
      <c r="AC78" s="98"/>
      <c r="AD78" s="98"/>
      <c r="AE78" s="98"/>
      <c r="AF78" s="98"/>
      <c r="AG78" s="98"/>
      <c r="AH78" s="98"/>
      <c r="AI78" s="98"/>
      <c r="AJ78" s="98"/>
      <c r="AK78" s="98"/>
      <c r="AL78" s="98"/>
      <c r="AM78" s="98"/>
      <c r="AN78" s="98"/>
      <c r="AO78" s="98"/>
      <c r="AP78" s="98"/>
      <c r="AQ78" s="98"/>
      <c r="AR78" s="98"/>
      <c r="AS78" s="576"/>
      <c r="AT78" s="576"/>
      <c r="AU78" s="576"/>
      <c r="AV78" s="576"/>
      <c r="AW78" s="577"/>
    </row>
    <row r="79" spans="1:49" x14ac:dyDescent="0.2">
      <c r="A79" s="576"/>
      <c r="B79" s="98"/>
      <c r="C79" s="98"/>
      <c r="D79" s="98"/>
      <c r="E79" s="98"/>
      <c r="F79" s="98"/>
      <c r="G79" s="586"/>
      <c r="H79" s="586"/>
      <c r="I79" s="586"/>
      <c r="J79" s="586"/>
      <c r="K79" s="586"/>
      <c r="L79" s="586"/>
      <c r="M79" s="586"/>
      <c r="N79" s="586"/>
      <c r="O79" s="586"/>
      <c r="P79" s="586"/>
      <c r="Q79" s="586"/>
      <c r="R79" s="586"/>
      <c r="S79" s="586"/>
      <c r="T79" s="586"/>
      <c r="U79" s="586"/>
      <c r="V79" s="586"/>
      <c r="W79" s="586"/>
      <c r="X79" s="586"/>
      <c r="Y79" s="586"/>
      <c r="Z79" s="586"/>
      <c r="AA79" s="98"/>
      <c r="AB79" s="98"/>
      <c r="AC79" s="98"/>
      <c r="AD79" s="98"/>
      <c r="AE79" s="98"/>
      <c r="AF79" s="98"/>
      <c r="AG79" s="98"/>
      <c r="AH79" s="98"/>
      <c r="AI79" s="98"/>
      <c r="AJ79" s="98"/>
      <c r="AK79" s="98"/>
      <c r="AL79" s="98"/>
      <c r="AM79" s="98"/>
      <c r="AN79" s="98"/>
      <c r="AO79" s="98"/>
      <c r="AP79" s="98"/>
      <c r="AQ79" s="98"/>
      <c r="AR79" s="98"/>
      <c r="AS79" s="576"/>
      <c r="AT79" s="576"/>
      <c r="AU79" s="576"/>
      <c r="AV79" s="576"/>
      <c r="AW79" s="577"/>
    </row>
    <row r="80" spans="1:49" x14ac:dyDescent="0.2">
      <c r="A80" s="576"/>
      <c r="B80" s="98"/>
      <c r="C80" s="98"/>
      <c r="D80" s="98"/>
      <c r="E80" s="98"/>
      <c r="F80" s="98"/>
      <c r="G80" s="586"/>
      <c r="H80" s="586"/>
      <c r="I80" s="586"/>
      <c r="J80" s="586"/>
      <c r="K80" s="586"/>
      <c r="L80" s="586"/>
      <c r="M80" s="586"/>
      <c r="N80" s="586"/>
      <c r="O80" s="586"/>
      <c r="P80" s="586"/>
      <c r="Q80" s="586"/>
      <c r="R80" s="586"/>
      <c r="S80" s="586"/>
      <c r="T80" s="586"/>
      <c r="U80" s="586"/>
      <c r="V80" s="586"/>
      <c r="W80" s="586"/>
      <c r="X80" s="586"/>
      <c r="Y80" s="586"/>
      <c r="Z80" s="586"/>
      <c r="AA80" s="98"/>
      <c r="AB80" s="98"/>
      <c r="AC80" s="98"/>
      <c r="AD80" s="98"/>
      <c r="AE80" s="98"/>
      <c r="AF80" s="98"/>
      <c r="AG80" s="98"/>
      <c r="AH80" s="98"/>
      <c r="AI80" s="98"/>
      <c r="AJ80" s="98"/>
      <c r="AK80" s="98"/>
      <c r="AL80" s="98"/>
      <c r="AM80" s="98"/>
      <c r="AN80" s="98"/>
      <c r="AO80" s="98"/>
      <c r="AP80" s="98"/>
      <c r="AQ80" s="98"/>
      <c r="AR80" s="98"/>
      <c r="AS80" s="576"/>
      <c r="AT80" s="576"/>
      <c r="AU80" s="576"/>
      <c r="AV80" s="576"/>
      <c r="AW80" s="577"/>
    </row>
    <row r="81" spans="1:49" x14ac:dyDescent="0.2">
      <c r="A81" s="576"/>
      <c r="B81" s="98"/>
      <c r="C81" s="98"/>
      <c r="D81" s="98"/>
      <c r="E81" s="98"/>
      <c r="F81" s="98"/>
      <c r="G81" s="586"/>
      <c r="H81" s="586"/>
      <c r="I81" s="586"/>
      <c r="J81" s="586"/>
      <c r="K81" s="586"/>
      <c r="L81" s="586"/>
      <c r="M81" s="586"/>
      <c r="N81" s="586"/>
      <c r="O81" s="586"/>
      <c r="P81" s="586"/>
      <c r="Q81" s="586"/>
      <c r="R81" s="586"/>
      <c r="S81" s="586"/>
      <c r="T81" s="586"/>
      <c r="U81" s="586"/>
      <c r="V81" s="586"/>
      <c r="W81" s="586"/>
      <c r="X81" s="586"/>
      <c r="Y81" s="586"/>
      <c r="Z81" s="586"/>
      <c r="AA81" s="98"/>
      <c r="AB81" s="98"/>
      <c r="AC81" s="98"/>
      <c r="AD81" s="98"/>
      <c r="AE81" s="98"/>
      <c r="AF81" s="98"/>
      <c r="AG81" s="98"/>
      <c r="AH81" s="98"/>
      <c r="AI81" s="98"/>
      <c r="AJ81" s="98"/>
      <c r="AK81" s="98"/>
      <c r="AL81" s="98"/>
      <c r="AM81" s="98"/>
      <c r="AN81" s="98"/>
      <c r="AO81" s="98"/>
      <c r="AP81" s="98"/>
      <c r="AQ81" s="98"/>
      <c r="AR81" s="98"/>
      <c r="AS81" s="576"/>
      <c r="AT81" s="576"/>
      <c r="AU81" s="576"/>
      <c r="AV81" s="576"/>
      <c r="AW81" s="577"/>
    </row>
    <row r="82" spans="1:49" x14ac:dyDescent="0.2">
      <c r="A82" s="576"/>
      <c r="B82" s="98"/>
      <c r="C82" s="98"/>
      <c r="D82" s="98"/>
      <c r="E82" s="98"/>
      <c r="F82" s="98"/>
      <c r="G82" s="586"/>
      <c r="H82" s="586"/>
      <c r="I82" s="586"/>
      <c r="J82" s="586"/>
      <c r="K82" s="586"/>
      <c r="L82" s="586"/>
      <c r="M82" s="586"/>
      <c r="N82" s="586"/>
      <c r="O82" s="586"/>
      <c r="P82" s="586"/>
      <c r="Q82" s="586"/>
      <c r="R82" s="586"/>
      <c r="S82" s="586"/>
      <c r="T82" s="586"/>
      <c r="U82" s="586"/>
      <c r="V82" s="586"/>
      <c r="W82" s="586"/>
      <c r="X82" s="586"/>
      <c r="Y82" s="586"/>
      <c r="Z82" s="586"/>
      <c r="AA82" s="98"/>
      <c r="AB82" s="98"/>
      <c r="AC82" s="98"/>
      <c r="AD82" s="98"/>
      <c r="AE82" s="98"/>
      <c r="AF82" s="98"/>
      <c r="AG82" s="98"/>
      <c r="AH82" s="98"/>
      <c r="AI82" s="98"/>
      <c r="AJ82" s="98"/>
      <c r="AK82" s="98"/>
      <c r="AL82" s="98"/>
      <c r="AM82" s="98"/>
      <c r="AN82" s="98"/>
      <c r="AO82" s="98"/>
      <c r="AP82" s="98"/>
      <c r="AQ82" s="98"/>
      <c r="AR82" s="98"/>
      <c r="AS82" s="576"/>
      <c r="AT82" s="576"/>
      <c r="AU82" s="576"/>
      <c r="AV82" s="576"/>
      <c r="AW82" s="577"/>
    </row>
    <row r="83" spans="1:49" x14ac:dyDescent="0.2">
      <c r="A83" s="576"/>
      <c r="B83" s="98"/>
      <c r="C83" s="98"/>
      <c r="D83" s="98"/>
      <c r="E83" s="98"/>
      <c r="F83" s="98"/>
      <c r="G83" s="586"/>
      <c r="H83" s="586"/>
      <c r="I83" s="586"/>
      <c r="J83" s="586"/>
      <c r="K83" s="586"/>
      <c r="L83" s="586"/>
      <c r="M83" s="586"/>
      <c r="N83" s="586"/>
      <c r="O83" s="586"/>
      <c r="P83" s="586"/>
      <c r="Q83" s="586"/>
      <c r="R83" s="586"/>
      <c r="S83" s="586"/>
      <c r="T83" s="586"/>
      <c r="U83" s="586"/>
      <c r="V83" s="586"/>
      <c r="W83" s="586"/>
      <c r="X83" s="586"/>
      <c r="Y83" s="586"/>
      <c r="Z83" s="586"/>
      <c r="AA83" s="98"/>
      <c r="AB83" s="98"/>
      <c r="AC83" s="98"/>
      <c r="AD83" s="98"/>
      <c r="AE83" s="98"/>
      <c r="AF83" s="98"/>
      <c r="AG83" s="98"/>
      <c r="AH83" s="98"/>
      <c r="AI83" s="98"/>
      <c r="AJ83" s="98"/>
      <c r="AK83" s="98"/>
      <c r="AL83" s="98"/>
      <c r="AM83" s="98"/>
      <c r="AN83" s="98"/>
      <c r="AO83" s="98"/>
      <c r="AP83" s="98"/>
      <c r="AQ83" s="98"/>
      <c r="AR83" s="98"/>
      <c r="AS83" s="576"/>
      <c r="AT83" s="576"/>
      <c r="AU83" s="576"/>
      <c r="AV83" s="576"/>
      <c r="AW83" s="577"/>
    </row>
    <row r="84" spans="1:49" x14ac:dyDescent="0.2">
      <c r="A84" s="576"/>
      <c r="B84" s="98"/>
      <c r="C84" s="98"/>
      <c r="D84" s="98"/>
      <c r="E84" s="98"/>
      <c r="F84" s="98"/>
      <c r="G84" s="586"/>
      <c r="H84" s="586"/>
      <c r="I84" s="586"/>
      <c r="J84" s="586"/>
      <c r="K84" s="586"/>
      <c r="L84" s="586"/>
      <c r="M84" s="586"/>
      <c r="N84" s="586"/>
      <c r="O84" s="586"/>
      <c r="P84" s="586"/>
      <c r="Q84" s="586"/>
      <c r="R84" s="586"/>
      <c r="S84" s="586"/>
      <c r="T84" s="586"/>
      <c r="U84" s="586"/>
      <c r="V84" s="586"/>
      <c r="W84" s="586"/>
      <c r="X84" s="586"/>
      <c r="Y84" s="586"/>
      <c r="Z84" s="586"/>
      <c r="AA84" s="98"/>
      <c r="AB84" s="98"/>
      <c r="AC84" s="98"/>
      <c r="AD84" s="98"/>
      <c r="AE84" s="98"/>
      <c r="AF84" s="98"/>
      <c r="AG84" s="98"/>
      <c r="AH84" s="98"/>
      <c r="AI84" s="98"/>
      <c r="AJ84" s="98"/>
      <c r="AK84" s="98"/>
      <c r="AL84" s="98"/>
      <c r="AM84" s="98"/>
      <c r="AN84" s="98"/>
      <c r="AO84" s="98"/>
      <c r="AP84" s="98"/>
      <c r="AQ84" s="98"/>
      <c r="AR84" s="98"/>
      <c r="AS84" s="576"/>
      <c r="AT84" s="576"/>
      <c r="AU84" s="576"/>
      <c r="AV84" s="576"/>
      <c r="AW84" s="577"/>
    </row>
    <row r="85" spans="1:49" x14ac:dyDescent="0.2">
      <c r="A85" s="576"/>
      <c r="B85" s="98"/>
      <c r="C85" s="98"/>
      <c r="D85" s="98"/>
      <c r="E85" s="98"/>
      <c r="F85" s="98"/>
      <c r="G85" s="586"/>
      <c r="H85" s="586"/>
      <c r="I85" s="586"/>
      <c r="J85" s="586"/>
      <c r="K85" s="586"/>
      <c r="L85" s="586"/>
      <c r="M85" s="586"/>
      <c r="N85" s="586"/>
      <c r="O85" s="586"/>
      <c r="P85" s="586"/>
      <c r="Q85" s="586"/>
      <c r="R85" s="586"/>
      <c r="S85" s="586"/>
      <c r="T85" s="586"/>
      <c r="U85" s="586"/>
      <c r="V85" s="586"/>
      <c r="W85" s="586"/>
      <c r="X85" s="586"/>
      <c r="Y85" s="586"/>
      <c r="Z85" s="586"/>
      <c r="AA85" s="98"/>
      <c r="AB85" s="98"/>
      <c r="AC85" s="98"/>
      <c r="AD85" s="98"/>
      <c r="AE85" s="98"/>
      <c r="AF85" s="98"/>
      <c r="AG85" s="98"/>
      <c r="AH85" s="98"/>
      <c r="AI85" s="98"/>
      <c r="AJ85" s="98"/>
      <c r="AK85" s="98"/>
      <c r="AL85" s="98"/>
      <c r="AM85" s="98"/>
      <c r="AN85" s="98"/>
      <c r="AO85" s="98"/>
      <c r="AP85" s="98"/>
      <c r="AQ85" s="98"/>
      <c r="AR85" s="98"/>
      <c r="AS85" s="576"/>
      <c r="AT85" s="576"/>
      <c r="AU85" s="576"/>
      <c r="AV85" s="576"/>
      <c r="AW85" s="577"/>
    </row>
    <row r="86" spans="1:49" x14ac:dyDescent="0.2">
      <c r="A86" s="576"/>
      <c r="B86" s="98"/>
      <c r="C86" s="98"/>
      <c r="D86" s="98"/>
      <c r="E86" s="98"/>
      <c r="F86" s="98"/>
      <c r="G86" s="586"/>
      <c r="H86" s="586"/>
      <c r="I86" s="586"/>
      <c r="J86" s="586"/>
      <c r="K86" s="586"/>
      <c r="L86" s="586"/>
      <c r="M86" s="586"/>
      <c r="N86" s="586"/>
      <c r="O86" s="586"/>
      <c r="P86" s="586"/>
      <c r="Q86" s="586"/>
      <c r="R86" s="586"/>
      <c r="S86" s="586"/>
      <c r="T86" s="586"/>
      <c r="U86" s="586"/>
      <c r="V86" s="586"/>
      <c r="W86" s="586"/>
      <c r="X86" s="586"/>
      <c r="Y86" s="586"/>
      <c r="Z86" s="586"/>
      <c r="AA86" s="98"/>
      <c r="AB86" s="98"/>
      <c r="AC86" s="98"/>
      <c r="AD86" s="98"/>
      <c r="AE86" s="98"/>
      <c r="AF86" s="98"/>
      <c r="AG86" s="98"/>
      <c r="AH86" s="98"/>
      <c r="AI86" s="98"/>
      <c r="AJ86" s="98"/>
      <c r="AK86" s="98"/>
      <c r="AL86" s="98"/>
      <c r="AM86" s="98"/>
      <c r="AN86" s="98"/>
      <c r="AO86" s="98"/>
      <c r="AP86" s="98"/>
      <c r="AQ86" s="98"/>
      <c r="AR86" s="98"/>
      <c r="AS86" s="576"/>
      <c r="AT86" s="576"/>
      <c r="AU86" s="576"/>
      <c r="AV86" s="576"/>
      <c r="AW86" s="577"/>
    </row>
    <row r="87" spans="1:49" x14ac:dyDescent="0.2">
      <c r="A87" s="576"/>
      <c r="B87" s="98"/>
      <c r="C87" s="98"/>
      <c r="D87" s="98"/>
      <c r="E87" s="98"/>
      <c r="F87" s="98"/>
      <c r="G87" s="586"/>
      <c r="H87" s="586"/>
      <c r="I87" s="586"/>
      <c r="J87" s="586"/>
      <c r="K87" s="586"/>
      <c r="L87" s="586"/>
      <c r="M87" s="586"/>
      <c r="N87" s="586"/>
      <c r="O87" s="586"/>
      <c r="P87" s="586"/>
      <c r="Q87" s="586"/>
      <c r="R87" s="586"/>
      <c r="S87" s="586"/>
      <c r="T87" s="586"/>
      <c r="U87" s="586"/>
      <c r="V87" s="586"/>
      <c r="W87" s="586"/>
      <c r="X87" s="586"/>
      <c r="Y87" s="586"/>
      <c r="Z87" s="586"/>
      <c r="AA87" s="98"/>
      <c r="AB87" s="98"/>
      <c r="AC87" s="98"/>
      <c r="AD87" s="98"/>
      <c r="AE87" s="98"/>
      <c r="AF87" s="98"/>
      <c r="AG87" s="98"/>
      <c r="AH87" s="98"/>
      <c r="AI87" s="98"/>
      <c r="AJ87" s="98"/>
      <c r="AK87" s="98"/>
      <c r="AL87" s="98"/>
      <c r="AM87" s="98"/>
      <c r="AN87" s="98"/>
      <c r="AO87" s="98"/>
      <c r="AP87" s="98"/>
      <c r="AQ87" s="98"/>
      <c r="AR87" s="98"/>
      <c r="AS87" s="576"/>
      <c r="AT87" s="576"/>
      <c r="AU87" s="576"/>
      <c r="AV87" s="576"/>
      <c r="AW87" s="577"/>
    </row>
    <row r="88" spans="1:49" x14ac:dyDescent="0.2">
      <c r="A88" s="576"/>
      <c r="B88" s="98"/>
      <c r="C88" s="98"/>
      <c r="D88" s="98"/>
      <c r="E88" s="98"/>
      <c r="F88" s="98"/>
      <c r="G88" s="586"/>
      <c r="H88" s="586"/>
      <c r="I88" s="586"/>
      <c r="J88" s="586"/>
      <c r="K88" s="586"/>
      <c r="L88" s="586"/>
      <c r="M88" s="586"/>
      <c r="N88" s="586"/>
      <c r="O88" s="586"/>
      <c r="P88" s="586"/>
      <c r="Q88" s="586"/>
      <c r="R88" s="586"/>
      <c r="S88" s="586"/>
      <c r="T88" s="586"/>
      <c r="U88" s="586"/>
      <c r="V88" s="586"/>
      <c r="W88" s="586"/>
      <c r="X88" s="586"/>
      <c r="Y88" s="586"/>
      <c r="Z88" s="586"/>
      <c r="AA88" s="98"/>
      <c r="AB88" s="98"/>
      <c r="AC88" s="98"/>
      <c r="AD88" s="98"/>
      <c r="AE88" s="98"/>
      <c r="AF88" s="98"/>
      <c r="AG88" s="98"/>
      <c r="AH88" s="98"/>
      <c r="AI88" s="98"/>
      <c r="AJ88" s="98"/>
      <c r="AK88" s="98"/>
      <c r="AL88" s="98"/>
      <c r="AM88" s="98"/>
      <c r="AN88" s="98"/>
      <c r="AO88" s="98"/>
      <c r="AP88" s="98"/>
      <c r="AQ88" s="98"/>
      <c r="AR88" s="98"/>
      <c r="AS88" s="576"/>
      <c r="AT88" s="576"/>
      <c r="AU88" s="576"/>
      <c r="AV88" s="576"/>
      <c r="AW88" s="577"/>
    </row>
    <row r="89" spans="1:49" x14ac:dyDescent="0.2">
      <c r="A89" s="576"/>
      <c r="B89" s="98"/>
      <c r="C89" s="98"/>
      <c r="D89" s="98"/>
      <c r="E89" s="98"/>
      <c r="F89" s="98"/>
      <c r="G89" s="586"/>
      <c r="H89" s="586"/>
      <c r="I89" s="586"/>
      <c r="J89" s="586"/>
      <c r="K89" s="586"/>
      <c r="L89" s="586"/>
      <c r="M89" s="586"/>
      <c r="N89" s="586"/>
      <c r="O89" s="586"/>
      <c r="P89" s="586"/>
      <c r="Q89" s="586"/>
      <c r="R89" s="586"/>
      <c r="S89" s="586"/>
      <c r="T89" s="586"/>
      <c r="U89" s="586"/>
      <c r="V89" s="586"/>
      <c r="W89" s="586"/>
      <c r="X89" s="586"/>
      <c r="Y89" s="586"/>
      <c r="Z89" s="586"/>
      <c r="AA89" s="98"/>
      <c r="AB89" s="98"/>
      <c r="AC89" s="98"/>
      <c r="AD89" s="98"/>
      <c r="AE89" s="98"/>
      <c r="AF89" s="98"/>
      <c r="AG89" s="98"/>
      <c r="AH89" s="98"/>
      <c r="AI89" s="98"/>
      <c r="AJ89" s="98"/>
      <c r="AK89" s="98"/>
      <c r="AL89" s="98"/>
      <c r="AM89" s="98"/>
      <c r="AN89" s="98"/>
      <c r="AO89" s="98"/>
      <c r="AP89" s="98"/>
      <c r="AQ89" s="98"/>
      <c r="AR89" s="98"/>
      <c r="AS89" s="576"/>
      <c r="AT89" s="576"/>
      <c r="AU89" s="576"/>
      <c r="AV89" s="576"/>
      <c r="AW89" s="577"/>
    </row>
    <row r="90" spans="1:49" x14ac:dyDescent="0.2">
      <c r="A90" s="576"/>
      <c r="B90" s="98"/>
      <c r="C90" s="98"/>
      <c r="D90" s="98"/>
      <c r="E90" s="98"/>
      <c r="F90" s="98"/>
      <c r="G90" s="586"/>
      <c r="H90" s="586"/>
      <c r="I90" s="586"/>
      <c r="J90" s="586"/>
      <c r="K90" s="586"/>
      <c r="L90" s="586"/>
      <c r="M90" s="586"/>
      <c r="N90" s="586"/>
      <c r="O90" s="586"/>
      <c r="P90" s="586"/>
      <c r="Q90" s="586"/>
      <c r="R90" s="586"/>
      <c r="S90" s="586"/>
      <c r="T90" s="586"/>
      <c r="U90" s="586"/>
      <c r="V90" s="586"/>
      <c r="W90" s="586"/>
      <c r="X90" s="586"/>
      <c r="Y90" s="586"/>
      <c r="Z90" s="586"/>
      <c r="AA90" s="98"/>
      <c r="AB90" s="98"/>
      <c r="AC90" s="98"/>
      <c r="AD90" s="98"/>
      <c r="AE90" s="98"/>
      <c r="AF90" s="98"/>
      <c r="AG90" s="98"/>
      <c r="AH90" s="98"/>
      <c r="AI90" s="98"/>
      <c r="AJ90" s="98"/>
      <c r="AK90" s="98"/>
      <c r="AL90" s="98"/>
      <c r="AM90" s="98"/>
      <c r="AN90" s="98"/>
      <c r="AO90" s="98"/>
      <c r="AP90" s="98"/>
      <c r="AQ90" s="98"/>
      <c r="AR90" s="98"/>
      <c r="AS90" s="576"/>
      <c r="AT90" s="576"/>
      <c r="AU90" s="576"/>
      <c r="AV90" s="576"/>
      <c r="AW90" s="577"/>
    </row>
    <row r="91" spans="1:49" x14ac:dyDescent="0.2">
      <c r="A91" s="576"/>
      <c r="B91" s="98"/>
      <c r="C91" s="98"/>
      <c r="D91" s="98"/>
      <c r="E91" s="98"/>
      <c r="F91" s="98"/>
      <c r="G91" s="586"/>
      <c r="H91" s="586"/>
      <c r="I91" s="586"/>
      <c r="J91" s="586"/>
      <c r="K91" s="586"/>
      <c r="L91" s="586"/>
      <c r="M91" s="586"/>
      <c r="N91" s="586"/>
      <c r="O91" s="586"/>
      <c r="P91" s="586"/>
      <c r="Q91" s="586"/>
      <c r="R91" s="586"/>
      <c r="S91" s="586"/>
      <c r="T91" s="586"/>
      <c r="U91" s="586"/>
      <c r="V91" s="586"/>
      <c r="W91" s="586"/>
      <c r="X91" s="586"/>
      <c r="Y91" s="586"/>
      <c r="Z91" s="586"/>
      <c r="AA91" s="98"/>
      <c r="AB91" s="98"/>
      <c r="AC91" s="98"/>
      <c r="AD91" s="98"/>
      <c r="AE91" s="98"/>
      <c r="AF91" s="98"/>
      <c r="AG91" s="98"/>
      <c r="AH91" s="98"/>
      <c r="AI91" s="98"/>
      <c r="AJ91" s="98"/>
      <c r="AK91" s="98"/>
      <c r="AL91" s="98"/>
      <c r="AM91" s="98"/>
      <c r="AN91" s="98"/>
      <c r="AO91" s="98"/>
      <c r="AP91" s="98"/>
      <c r="AQ91" s="98"/>
      <c r="AR91" s="98"/>
      <c r="AS91" s="576"/>
      <c r="AT91" s="576"/>
      <c r="AU91" s="576"/>
      <c r="AV91" s="576"/>
      <c r="AW91" s="577"/>
    </row>
    <row r="92" spans="1:49" x14ac:dyDescent="0.2">
      <c r="A92" s="576"/>
      <c r="B92" s="98"/>
      <c r="C92" s="98"/>
      <c r="D92" s="98"/>
      <c r="E92" s="98"/>
      <c r="F92" s="98"/>
      <c r="G92" s="586"/>
      <c r="H92" s="586"/>
      <c r="I92" s="586"/>
      <c r="J92" s="586"/>
      <c r="K92" s="586"/>
      <c r="L92" s="586"/>
      <c r="M92" s="586"/>
      <c r="N92" s="586"/>
      <c r="O92" s="586"/>
      <c r="P92" s="586"/>
      <c r="Q92" s="586"/>
      <c r="R92" s="586"/>
      <c r="S92" s="586"/>
      <c r="T92" s="586"/>
      <c r="U92" s="586"/>
      <c r="V92" s="586"/>
      <c r="W92" s="586"/>
      <c r="X92" s="586"/>
      <c r="Y92" s="586"/>
      <c r="Z92" s="586"/>
      <c r="AA92" s="98"/>
      <c r="AB92" s="98"/>
      <c r="AC92" s="98"/>
      <c r="AD92" s="98"/>
      <c r="AE92" s="98"/>
      <c r="AF92" s="98"/>
      <c r="AG92" s="98"/>
      <c r="AH92" s="98"/>
      <c r="AI92" s="98"/>
      <c r="AJ92" s="98"/>
      <c r="AK92" s="98"/>
      <c r="AL92" s="98"/>
      <c r="AM92" s="98"/>
      <c r="AN92" s="98"/>
      <c r="AO92" s="98"/>
      <c r="AP92" s="98"/>
      <c r="AQ92" s="98"/>
      <c r="AR92" s="98"/>
      <c r="AS92" s="576"/>
      <c r="AT92" s="576"/>
      <c r="AU92" s="576"/>
      <c r="AV92" s="576"/>
      <c r="AW92" s="577"/>
    </row>
    <row r="93" spans="1:49" x14ac:dyDescent="0.2">
      <c r="A93" s="576"/>
      <c r="B93" s="98"/>
      <c r="C93" s="98"/>
      <c r="D93" s="98"/>
      <c r="E93" s="98"/>
      <c r="F93" s="98"/>
      <c r="G93" s="586"/>
      <c r="H93" s="586"/>
      <c r="I93" s="586"/>
      <c r="J93" s="586"/>
      <c r="K93" s="586"/>
      <c r="L93" s="586"/>
      <c r="M93" s="586"/>
      <c r="N93" s="586"/>
      <c r="O93" s="586"/>
      <c r="P93" s="586"/>
      <c r="Q93" s="586"/>
      <c r="R93" s="586"/>
      <c r="S93" s="586"/>
      <c r="T93" s="586"/>
      <c r="U93" s="586"/>
      <c r="V93" s="586"/>
      <c r="W93" s="586"/>
      <c r="X93" s="586"/>
      <c r="Y93" s="586"/>
      <c r="Z93" s="586"/>
      <c r="AA93" s="98"/>
      <c r="AB93" s="98"/>
      <c r="AC93" s="98"/>
      <c r="AD93" s="98"/>
      <c r="AE93" s="98"/>
      <c r="AF93" s="98"/>
      <c r="AG93" s="98"/>
      <c r="AH93" s="98"/>
      <c r="AI93" s="98"/>
      <c r="AJ93" s="98"/>
      <c r="AK93" s="98"/>
      <c r="AL93" s="98"/>
      <c r="AM93" s="98"/>
      <c r="AN93" s="98"/>
      <c r="AO93" s="98"/>
      <c r="AP93" s="98"/>
      <c r="AQ93" s="98"/>
      <c r="AR93" s="98"/>
      <c r="AS93" s="576"/>
      <c r="AT93" s="576"/>
      <c r="AU93" s="576"/>
      <c r="AV93" s="576"/>
      <c r="AW93" s="577"/>
    </row>
    <row r="94" spans="1:49" x14ac:dyDescent="0.2">
      <c r="A94" s="576"/>
      <c r="B94" s="98"/>
      <c r="C94" s="98"/>
      <c r="D94" s="98"/>
      <c r="E94" s="98"/>
      <c r="F94" s="98"/>
      <c r="G94" s="586"/>
      <c r="H94" s="586"/>
      <c r="I94" s="586"/>
      <c r="J94" s="586"/>
      <c r="K94" s="586"/>
      <c r="L94" s="586"/>
      <c r="M94" s="586"/>
      <c r="N94" s="586"/>
      <c r="O94" s="586"/>
      <c r="P94" s="586"/>
      <c r="Q94" s="586"/>
      <c r="R94" s="586"/>
      <c r="S94" s="586"/>
      <c r="T94" s="586"/>
      <c r="U94" s="586"/>
      <c r="V94" s="586"/>
      <c r="W94" s="586"/>
      <c r="X94" s="586"/>
      <c r="Y94" s="586"/>
      <c r="Z94" s="586"/>
      <c r="AA94" s="98"/>
      <c r="AB94" s="98"/>
      <c r="AC94" s="98"/>
      <c r="AD94" s="98"/>
      <c r="AE94" s="98"/>
      <c r="AF94" s="98"/>
      <c r="AG94" s="98"/>
      <c r="AH94" s="98"/>
      <c r="AI94" s="98"/>
      <c r="AJ94" s="98"/>
      <c r="AK94" s="98"/>
      <c r="AL94" s="98"/>
      <c r="AM94" s="98"/>
      <c r="AN94" s="98"/>
      <c r="AO94" s="98"/>
      <c r="AP94" s="98"/>
      <c r="AQ94" s="98"/>
      <c r="AR94" s="98"/>
      <c r="AS94" s="576"/>
      <c r="AT94" s="576"/>
      <c r="AU94" s="576"/>
      <c r="AV94" s="576"/>
      <c r="AW94" s="577"/>
    </row>
    <row r="95" spans="1:49" x14ac:dyDescent="0.2">
      <c r="A95" s="576"/>
      <c r="B95" s="98"/>
      <c r="C95" s="98"/>
      <c r="D95" s="98"/>
      <c r="E95" s="98"/>
      <c r="F95" s="98"/>
      <c r="G95" s="586"/>
      <c r="H95" s="586"/>
      <c r="I95" s="586"/>
      <c r="J95" s="586"/>
      <c r="K95" s="586"/>
      <c r="L95" s="586"/>
      <c r="M95" s="586"/>
      <c r="N95" s="586"/>
      <c r="O95" s="586"/>
      <c r="P95" s="586"/>
      <c r="Q95" s="586"/>
      <c r="R95" s="586"/>
      <c r="S95" s="586"/>
      <c r="T95" s="586"/>
      <c r="U95" s="586"/>
      <c r="V95" s="586"/>
      <c r="W95" s="586"/>
      <c r="X95" s="586"/>
      <c r="Y95" s="586"/>
      <c r="Z95" s="586"/>
      <c r="AA95" s="98"/>
      <c r="AB95" s="98"/>
      <c r="AC95" s="98"/>
      <c r="AD95" s="98"/>
      <c r="AE95" s="98"/>
      <c r="AF95" s="98"/>
      <c r="AG95" s="98"/>
      <c r="AH95" s="98"/>
      <c r="AI95" s="98"/>
      <c r="AJ95" s="98"/>
      <c r="AK95" s="98"/>
      <c r="AL95" s="98"/>
      <c r="AM95" s="98"/>
      <c r="AN95" s="98"/>
      <c r="AO95" s="98"/>
      <c r="AP95" s="98"/>
      <c r="AQ95" s="98"/>
      <c r="AR95" s="98"/>
      <c r="AS95" s="576"/>
      <c r="AT95" s="576"/>
      <c r="AU95" s="576"/>
      <c r="AV95" s="576"/>
      <c r="AW95" s="577"/>
    </row>
    <row r="96" spans="1:49" x14ac:dyDescent="0.2">
      <c r="A96" s="576"/>
      <c r="B96" s="98"/>
      <c r="C96" s="98"/>
      <c r="D96" s="98"/>
      <c r="E96" s="98"/>
      <c r="F96" s="98"/>
      <c r="G96" s="586"/>
      <c r="H96" s="586"/>
      <c r="I96" s="586"/>
      <c r="J96" s="586"/>
      <c r="K96" s="586"/>
      <c r="L96" s="586"/>
      <c r="M96" s="586"/>
      <c r="N96" s="586"/>
      <c r="O96" s="586"/>
      <c r="P96" s="586"/>
      <c r="Q96" s="586"/>
      <c r="R96" s="586"/>
      <c r="S96" s="586"/>
      <c r="T96" s="586"/>
      <c r="U96" s="586"/>
      <c r="V96" s="586"/>
      <c r="W96" s="586"/>
      <c r="X96" s="586"/>
      <c r="Y96" s="586"/>
      <c r="Z96" s="586"/>
      <c r="AA96" s="98"/>
      <c r="AB96" s="98"/>
      <c r="AC96" s="98"/>
      <c r="AD96" s="98"/>
      <c r="AE96" s="98"/>
      <c r="AF96" s="98"/>
      <c r="AG96" s="98"/>
      <c r="AH96" s="98"/>
      <c r="AI96" s="98"/>
      <c r="AJ96" s="98"/>
      <c r="AK96" s="98"/>
      <c r="AL96" s="98"/>
      <c r="AM96" s="98"/>
      <c r="AN96" s="98"/>
      <c r="AO96" s="98"/>
      <c r="AP96" s="98"/>
      <c r="AQ96" s="98"/>
      <c r="AR96" s="98"/>
      <c r="AS96" s="576"/>
      <c r="AT96" s="576"/>
      <c r="AU96" s="576"/>
      <c r="AV96" s="576"/>
      <c r="AW96" s="577"/>
    </row>
    <row r="97" spans="1:49" x14ac:dyDescent="0.2">
      <c r="A97" s="576"/>
      <c r="B97" s="98"/>
      <c r="C97" s="98"/>
      <c r="D97" s="98"/>
      <c r="E97" s="98"/>
      <c r="F97" s="98"/>
      <c r="G97" s="586"/>
      <c r="H97" s="586"/>
      <c r="I97" s="586"/>
      <c r="J97" s="586"/>
      <c r="K97" s="586"/>
      <c r="L97" s="586"/>
      <c r="M97" s="586"/>
      <c r="N97" s="586"/>
      <c r="O97" s="586"/>
      <c r="P97" s="586"/>
      <c r="Q97" s="586"/>
      <c r="R97" s="586"/>
      <c r="S97" s="586"/>
      <c r="T97" s="586"/>
      <c r="U97" s="586"/>
      <c r="V97" s="586"/>
      <c r="W97" s="586"/>
      <c r="X97" s="586"/>
      <c r="Y97" s="586"/>
      <c r="Z97" s="586"/>
      <c r="AA97" s="98"/>
      <c r="AB97" s="98"/>
      <c r="AC97" s="98"/>
      <c r="AD97" s="98"/>
      <c r="AE97" s="98"/>
      <c r="AF97" s="98"/>
      <c r="AG97" s="98"/>
      <c r="AH97" s="98"/>
      <c r="AI97" s="98"/>
      <c r="AJ97" s="98"/>
      <c r="AK97" s="98"/>
      <c r="AL97" s="98"/>
      <c r="AM97" s="98"/>
      <c r="AN97" s="98"/>
      <c r="AO97" s="98"/>
      <c r="AP97" s="98"/>
      <c r="AQ97" s="98"/>
      <c r="AR97" s="98"/>
      <c r="AS97" s="576"/>
      <c r="AT97" s="576"/>
      <c r="AU97" s="576"/>
      <c r="AV97" s="576"/>
      <c r="AW97" s="577"/>
    </row>
    <row r="98" spans="1:49" x14ac:dyDescent="0.2">
      <c r="A98" s="576"/>
      <c r="B98" s="98"/>
      <c r="C98" s="98"/>
      <c r="D98" s="98"/>
      <c r="E98" s="98"/>
      <c r="F98" s="98"/>
      <c r="G98" s="586"/>
      <c r="H98" s="586"/>
      <c r="I98" s="586"/>
      <c r="J98" s="586"/>
      <c r="K98" s="586"/>
      <c r="L98" s="586"/>
      <c r="M98" s="586"/>
      <c r="N98" s="586"/>
      <c r="O98" s="586"/>
      <c r="P98" s="586"/>
      <c r="Q98" s="586"/>
      <c r="R98" s="586"/>
      <c r="S98" s="586"/>
      <c r="T98" s="586"/>
      <c r="U98" s="586"/>
      <c r="V98" s="586"/>
      <c r="W98" s="586"/>
      <c r="X98" s="586"/>
      <c r="Y98" s="586"/>
      <c r="Z98" s="586"/>
      <c r="AA98" s="98"/>
      <c r="AB98" s="98"/>
      <c r="AC98" s="98"/>
      <c r="AD98" s="98"/>
      <c r="AE98" s="98"/>
      <c r="AF98" s="98"/>
      <c r="AG98" s="98"/>
      <c r="AH98" s="98"/>
      <c r="AI98" s="98"/>
      <c r="AJ98" s="98"/>
      <c r="AK98" s="98"/>
      <c r="AL98" s="98"/>
      <c r="AM98" s="98"/>
      <c r="AN98" s="98"/>
      <c r="AO98" s="98"/>
      <c r="AP98" s="98"/>
      <c r="AQ98" s="98"/>
      <c r="AR98" s="98"/>
      <c r="AS98" s="576"/>
      <c r="AT98" s="576"/>
      <c r="AU98" s="576"/>
      <c r="AV98" s="576"/>
      <c r="AW98" s="577"/>
    </row>
    <row r="99" spans="1:49" x14ac:dyDescent="0.2">
      <c r="A99" s="576"/>
      <c r="B99" s="98"/>
      <c r="C99" s="98"/>
      <c r="D99" s="98"/>
      <c r="E99" s="98"/>
      <c r="F99" s="98"/>
      <c r="G99" s="586"/>
      <c r="H99" s="586"/>
      <c r="I99" s="586"/>
      <c r="J99" s="586"/>
      <c r="K99" s="586"/>
      <c r="L99" s="586"/>
      <c r="M99" s="586"/>
      <c r="N99" s="586"/>
      <c r="O99" s="586"/>
      <c r="P99" s="586"/>
      <c r="Q99" s="586"/>
      <c r="R99" s="586"/>
      <c r="S99" s="586"/>
      <c r="T99" s="586"/>
      <c r="U99" s="586"/>
      <c r="V99" s="586"/>
      <c r="W99" s="586"/>
      <c r="X99" s="586"/>
      <c r="Y99" s="586"/>
      <c r="Z99" s="586"/>
      <c r="AA99" s="98"/>
      <c r="AB99" s="98"/>
      <c r="AC99" s="98"/>
      <c r="AD99" s="98"/>
      <c r="AE99" s="98"/>
      <c r="AF99" s="98"/>
      <c r="AG99" s="98"/>
      <c r="AH99" s="98"/>
      <c r="AI99" s="98"/>
      <c r="AJ99" s="98"/>
      <c r="AK99" s="98"/>
      <c r="AL99" s="98"/>
      <c r="AM99" s="98"/>
      <c r="AN99" s="98"/>
      <c r="AO99" s="98"/>
      <c r="AP99" s="98"/>
      <c r="AQ99" s="98"/>
      <c r="AR99" s="98"/>
      <c r="AS99" s="576"/>
      <c r="AT99" s="576"/>
      <c r="AU99" s="576"/>
      <c r="AV99" s="576"/>
      <c r="AW99" s="577"/>
    </row>
    <row r="100" spans="1:49" x14ac:dyDescent="0.2">
      <c r="A100" s="576"/>
      <c r="B100" s="98"/>
      <c r="C100" s="98"/>
      <c r="D100" s="98"/>
      <c r="E100" s="98"/>
      <c r="F100" s="98"/>
      <c r="G100" s="586"/>
      <c r="H100" s="586"/>
      <c r="I100" s="586"/>
      <c r="J100" s="586"/>
      <c r="K100" s="586"/>
      <c r="L100" s="586"/>
      <c r="M100" s="586"/>
      <c r="N100" s="586"/>
      <c r="O100" s="586"/>
      <c r="P100" s="586"/>
      <c r="Q100" s="586"/>
      <c r="R100" s="586"/>
      <c r="S100" s="586"/>
      <c r="T100" s="586"/>
      <c r="U100" s="586"/>
      <c r="V100" s="586"/>
      <c r="W100" s="586"/>
      <c r="X100" s="586"/>
      <c r="Y100" s="586"/>
      <c r="Z100" s="586"/>
      <c r="AA100" s="98"/>
      <c r="AB100" s="98"/>
      <c r="AC100" s="98"/>
      <c r="AD100" s="98"/>
      <c r="AE100" s="98"/>
      <c r="AF100" s="98"/>
      <c r="AG100" s="98"/>
      <c r="AH100" s="98"/>
      <c r="AI100" s="98"/>
      <c r="AJ100" s="98"/>
      <c r="AK100" s="98"/>
      <c r="AL100" s="98"/>
      <c r="AM100" s="98"/>
      <c r="AN100" s="98"/>
      <c r="AO100" s="98"/>
      <c r="AP100" s="98"/>
      <c r="AQ100" s="98"/>
      <c r="AR100" s="98"/>
      <c r="AS100" s="576"/>
      <c r="AT100" s="576"/>
      <c r="AU100" s="576"/>
      <c r="AV100" s="576"/>
      <c r="AW100" s="577"/>
    </row>
    <row r="101" spans="1:49" x14ac:dyDescent="0.2">
      <c r="A101" s="576"/>
      <c r="B101" s="98"/>
      <c r="C101" s="98"/>
      <c r="D101" s="98"/>
      <c r="E101" s="98"/>
      <c r="F101" s="98"/>
      <c r="G101" s="586"/>
      <c r="H101" s="586"/>
      <c r="I101" s="586"/>
      <c r="J101" s="586"/>
      <c r="K101" s="586"/>
      <c r="L101" s="586"/>
      <c r="M101" s="586"/>
      <c r="N101" s="586"/>
      <c r="O101" s="586"/>
      <c r="P101" s="586"/>
      <c r="Q101" s="586"/>
      <c r="R101" s="586"/>
      <c r="S101" s="586"/>
      <c r="T101" s="586"/>
      <c r="U101" s="586"/>
      <c r="V101" s="586"/>
      <c r="W101" s="586"/>
      <c r="X101" s="586"/>
      <c r="Y101" s="586"/>
      <c r="Z101" s="586"/>
      <c r="AA101" s="98"/>
      <c r="AB101" s="98"/>
      <c r="AC101" s="98"/>
      <c r="AD101" s="98"/>
      <c r="AE101" s="98"/>
      <c r="AF101" s="98"/>
      <c r="AG101" s="98"/>
      <c r="AH101" s="98"/>
      <c r="AI101" s="98"/>
      <c r="AJ101" s="98"/>
      <c r="AK101" s="98"/>
      <c r="AL101" s="98"/>
      <c r="AM101" s="98"/>
      <c r="AN101" s="98"/>
      <c r="AO101" s="98"/>
      <c r="AP101" s="98"/>
      <c r="AQ101" s="98"/>
      <c r="AR101" s="98"/>
      <c r="AS101" s="576"/>
      <c r="AT101" s="576"/>
      <c r="AU101" s="576"/>
      <c r="AV101" s="576"/>
      <c r="AW101" s="577"/>
    </row>
    <row r="102" spans="1:49" x14ac:dyDescent="0.2">
      <c r="A102" s="579"/>
      <c r="B102" s="100"/>
      <c r="C102" s="100"/>
      <c r="D102" s="100"/>
      <c r="E102" s="100"/>
      <c r="F102" s="100"/>
      <c r="G102" s="587"/>
      <c r="H102" s="587"/>
      <c r="I102" s="587"/>
      <c r="J102" s="587"/>
      <c r="K102" s="587"/>
      <c r="L102" s="587"/>
      <c r="M102" s="587"/>
      <c r="N102" s="587"/>
      <c r="O102" s="587"/>
      <c r="P102" s="587"/>
      <c r="Q102" s="587"/>
      <c r="R102" s="587"/>
      <c r="S102" s="587"/>
      <c r="T102" s="587"/>
      <c r="U102" s="587"/>
      <c r="V102" s="587"/>
      <c r="W102" s="587"/>
      <c r="X102" s="587"/>
      <c r="Y102" s="587"/>
      <c r="Z102" s="587"/>
      <c r="AA102" s="100"/>
      <c r="AB102" s="100"/>
      <c r="AC102" s="100"/>
      <c r="AD102" s="100"/>
      <c r="AE102" s="100"/>
      <c r="AF102" s="100"/>
      <c r="AG102" s="100"/>
      <c r="AH102" s="100"/>
      <c r="AI102" s="100"/>
      <c r="AJ102" s="100"/>
      <c r="AK102" s="100"/>
      <c r="AL102" s="100"/>
      <c r="AM102" s="100"/>
      <c r="AN102" s="100"/>
      <c r="AO102" s="100"/>
      <c r="AP102" s="100"/>
      <c r="AQ102" s="100"/>
      <c r="AR102" s="100"/>
      <c r="AS102" s="579"/>
      <c r="AT102" s="579"/>
      <c r="AU102" s="579"/>
      <c r="AV102" s="579"/>
      <c r="AW102" s="580"/>
    </row>
  </sheetData>
  <sheetProtection algorithmName="SHA-512" hashValue="mTBa2Wwf+lCu+awB5h0uhwNRBV+/Gy/cIOgREMkhxtf+NWtayJ+R2IIEKblh2AcWOdxxMKhf5r0IbdTTobxVYg==" saltValue="Upq/7O3/jG74V3Id3iOO6Q==" spinCount="100000" sheet="1" selectLockedCells="1"/>
  <dataConsolidate link="1"/>
  <mergeCells count="6">
    <mergeCell ref="D21:D26"/>
    <mergeCell ref="E21:E26"/>
    <mergeCell ref="D30:D32"/>
    <mergeCell ref="E30:E32"/>
    <mergeCell ref="D9:D11"/>
    <mergeCell ref="E9:E11"/>
  </mergeCells>
  <conditionalFormatting sqref="G4:Z4 G7:Z34">
    <cfRule type="notContainsBlanks" dxfId="26"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0D00-000000000000}">
      <formula1>1</formula1>
      <formula2>48</formula2>
    </dataValidation>
  </dataValidations>
  <pageMargins left="0.7" right="0.7" top="0.75" bottom="0.75" header="0.3" footer="0.3"/>
  <pageSetup paperSize="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0"/>
  <dimension ref="A1:BE82"/>
  <sheetViews>
    <sheetView zoomScaleNormal="100" workbookViewId="0">
      <pane xSplit="6" ySplit="6" topLeftCell="G10" activePane="bottomRight" state="frozen"/>
      <selection pane="topRight" activeCell="G1" sqref="G1"/>
      <selection pane="bottomLeft" activeCell="A7" sqref="A7"/>
      <selection pane="bottomRight" activeCell="G7" sqref="G7:G14"/>
    </sheetView>
  </sheetViews>
  <sheetFormatPr defaultColWidth="9.140625" defaultRowHeight="11.25" x14ac:dyDescent="0.2"/>
  <cols>
    <col min="1" max="1" width="0.5703125" style="573" customWidth="1"/>
    <col min="2" max="2" width="10.140625" style="99" customWidth="1"/>
    <col min="3" max="3" width="22.5703125" style="99" customWidth="1"/>
    <col min="4" max="4" width="9.85546875" style="99" bestFit="1" customWidth="1"/>
    <col min="5" max="5" width="29" style="99" customWidth="1"/>
    <col min="6" max="6" width="14.28515625" style="99" bestFit="1" customWidth="1"/>
    <col min="7" max="26" width="12.5703125" style="573"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ht="12" thickBot="1" x14ac:dyDescent="0.25"/>
    <row r="2" spans="1:57" s="118" customFormat="1" ht="12.75" thickBot="1" x14ac:dyDescent="0.25">
      <c r="G2" s="148" t="s">
        <v>308</v>
      </c>
      <c r="H2" s="148" t="s">
        <v>309</v>
      </c>
      <c r="I2" s="148" t="s">
        <v>310</v>
      </c>
      <c r="J2" s="148" t="s">
        <v>311</v>
      </c>
      <c r="K2" s="148" t="s">
        <v>312</v>
      </c>
      <c r="L2" s="148" t="s">
        <v>313</v>
      </c>
      <c r="M2" s="148" t="s">
        <v>314</v>
      </c>
      <c r="N2" s="148" t="s">
        <v>315</v>
      </c>
      <c r="O2" s="148" t="s">
        <v>316</v>
      </c>
      <c r="P2" s="148" t="s">
        <v>317</v>
      </c>
      <c r="Q2" s="148" t="s">
        <v>318</v>
      </c>
      <c r="R2" s="148" t="s">
        <v>319</v>
      </c>
      <c r="S2" s="148" t="s">
        <v>320</v>
      </c>
      <c r="T2" s="148" t="s">
        <v>321</v>
      </c>
      <c r="U2" s="148" t="s">
        <v>322</v>
      </c>
      <c r="V2" s="148" t="s">
        <v>323</v>
      </c>
      <c r="W2" s="148" t="s">
        <v>324</v>
      </c>
      <c r="X2" s="148" t="s">
        <v>325</v>
      </c>
      <c r="Y2" s="148" t="s">
        <v>326</v>
      </c>
      <c r="Z2" s="148" t="s">
        <v>327</v>
      </c>
    </row>
    <row r="3" spans="1:57" s="119" customFormat="1" ht="24.6" customHeight="1" thickBot="1" x14ac:dyDescent="0.3">
      <c r="F3" s="124" t="s">
        <v>1170</v>
      </c>
      <c r="G3" s="488" t="str">
        <f>IF('Elenco immobili'!$C$4="","",'Elenco immobili'!$C$4)</f>
        <v>Sede ICE-AGID</v>
      </c>
      <c r="H3" s="488" t="str">
        <f>IF('Elenco immobili'!$C$5="","",'Elenco immobili'!$C$5)</f>
        <v/>
      </c>
      <c r="I3" s="488" t="str">
        <f>IF('Elenco immobili'!$C$6="","",'Elenco immobili'!$C$6)</f>
        <v/>
      </c>
      <c r="J3" s="488" t="str">
        <f>IF('Elenco immobili'!$C$7="","",'Elenco immobili'!$C$7)</f>
        <v/>
      </c>
      <c r="K3" s="488" t="str">
        <f>IF('Elenco immobili'!$C$8="","",'Elenco immobili'!$C$8)</f>
        <v/>
      </c>
      <c r="L3" s="488" t="str">
        <f>IF('Elenco immobili'!$C$9="","",'Elenco immobili'!$C$9)</f>
        <v/>
      </c>
      <c r="M3" s="488" t="str">
        <f>IF('Elenco immobili'!$C$10="","",'Elenco immobili'!$C$10)</f>
        <v/>
      </c>
      <c r="N3" s="488" t="str">
        <f>IF('Elenco immobili'!$C$11="","",'Elenco immobili'!$C$11)</f>
        <v/>
      </c>
      <c r="O3" s="488" t="str">
        <f>IF('Elenco immobili'!$C$12="","",'Elenco immobili'!$C$12)</f>
        <v/>
      </c>
      <c r="P3" s="488" t="str">
        <f>IF('Elenco immobili'!$C$13="","",'Elenco immobili'!$C$13)</f>
        <v/>
      </c>
      <c r="Q3" s="488" t="str">
        <f>IF('Elenco immobili'!$C$14="","",'Elenco immobili'!$C$14)</f>
        <v/>
      </c>
      <c r="R3" s="488" t="str">
        <f>IF('Elenco immobili'!$C$15="","",'Elenco immobili'!$C$15)</f>
        <v/>
      </c>
      <c r="S3" s="488" t="str">
        <f>IF('Elenco immobili'!$C$16="","",'Elenco immobili'!$C$16)</f>
        <v/>
      </c>
      <c r="T3" s="488" t="str">
        <f>IF('Elenco immobili'!$C$17="","",'Elenco immobili'!$C$17)</f>
        <v/>
      </c>
      <c r="U3" s="488" t="str">
        <f>IF('Elenco immobili'!$C$18="","",'Elenco immobili'!$C$18)</f>
        <v/>
      </c>
      <c r="V3" s="488" t="str">
        <f>IF('Elenco immobili'!$C$19="","",'Elenco immobili'!$C$19)</f>
        <v/>
      </c>
      <c r="W3" s="488" t="str">
        <f>IF('Elenco immobili'!$C$20="","",'Elenco immobili'!$C$20)</f>
        <v/>
      </c>
      <c r="X3" s="488" t="str">
        <f>IF('Elenco immobili'!$C$21="","",'Elenco immobili'!$C$21)</f>
        <v/>
      </c>
      <c r="Y3" s="488" t="str">
        <f>IF('Elenco immobili'!$C$22="","",'Elenco immobili'!$C$22)</f>
        <v/>
      </c>
      <c r="Z3" s="488" t="str">
        <f>IF('Elenco immobili'!$C$23="","",'Elenco immobili'!$C$23)</f>
        <v/>
      </c>
    </row>
    <row r="4" spans="1:57" ht="13.5" thickBot="1" x14ac:dyDescent="0.25">
      <c r="B4" s="105" t="s">
        <v>476</v>
      </c>
      <c r="F4" s="125" t="s">
        <v>328</v>
      </c>
      <c r="G4" s="574">
        <v>48</v>
      </c>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24" customHeight="1" thickBot="1" x14ac:dyDescent="0.25">
      <c r="A6" s="101"/>
      <c r="B6" s="121" t="s">
        <v>250</v>
      </c>
      <c r="C6" s="122" t="s">
        <v>251</v>
      </c>
      <c r="D6" s="122" t="s">
        <v>252</v>
      </c>
      <c r="E6" s="122" t="s">
        <v>253</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63" customHeight="1" x14ac:dyDescent="0.2">
      <c r="A7" s="575"/>
      <c r="B7" s="203" t="s">
        <v>439</v>
      </c>
      <c r="C7" s="537" t="s">
        <v>447</v>
      </c>
      <c r="D7" s="531" t="s">
        <v>1088</v>
      </c>
      <c r="E7" s="533" t="s">
        <v>462</v>
      </c>
      <c r="F7" s="243" t="s">
        <v>463</v>
      </c>
      <c r="G7" s="849">
        <v>1</v>
      </c>
      <c r="H7" s="454"/>
      <c r="I7" s="454"/>
      <c r="J7" s="454"/>
      <c r="K7" s="454"/>
      <c r="L7" s="454"/>
      <c r="M7" s="454"/>
      <c r="N7" s="454"/>
      <c r="O7" s="454"/>
      <c r="P7" s="454"/>
      <c r="Q7" s="454"/>
      <c r="R7" s="454"/>
      <c r="S7" s="454"/>
      <c r="T7" s="454"/>
      <c r="U7" s="454"/>
      <c r="V7" s="454"/>
      <c r="W7" s="454"/>
      <c r="X7" s="454"/>
      <c r="Y7" s="454"/>
      <c r="Z7" s="454"/>
      <c r="AA7" s="130">
        <v>726.024</v>
      </c>
      <c r="AB7" s="595" t="s">
        <v>36</v>
      </c>
      <c r="AC7" s="131">
        <f>'Ribassi PE'!$K$6</f>
        <v>0.67</v>
      </c>
      <c r="AD7" s="132">
        <f t="shared" ref="AD7:AD14" si="0">ROUND(AA7*(1-AC7),3)</f>
        <v>239.58799999999999</v>
      </c>
      <c r="AE7" s="133">
        <f>'Ribassi PE'!$M$6</f>
        <v>0.5</v>
      </c>
      <c r="AF7" s="132">
        <f t="shared" ref="AF7:AF14" si="1">ROUND(AA7*(1-AE7),3)</f>
        <v>363.012</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112.5" x14ac:dyDescent="0.2">
      <c r="A8" s="575"/>
      <c r="B8" s="206" t="s">
        <v>440</v>
      </c>
      <c r="C8" s="536" t="s">
        <v>448</v>
      </c>
      <c r="D8" s="529" t="s">
        <v>455</v>
      </c>
      <c r="E8" s="534" t="s">
        <v>464</v>
      </c>
      <c r="F8" s="244" t="s">
        <v>268</v>
      </c>
      <c r="G8" s="850">
        <v>26290</v>
      </c>
      <c r="H8" s="455"/>
      <c r="I8" s="455"/>
      <c r="J8" s="455"/>
      <c r="K8" s="455"/>
      <c r="L8" s="455"/>
      <c r="M8" s="455"/>
      <c r="N8" s="455"/>
      <c r="O8" s="455"/>
      <c r="P8" s="455"/>
      <c r="Q8" s="455"/>
      <c r="R8" s="455"/>
      <c r="S8" s="455"/>
      <c r="T8" s="455"/>
      <c r="U8" s="455"/>
      <c r="V8" s="455"/>
      <c r="W8" s="455"/>
      <c r="X8" s="455"/>
      <c r="Y8" s="455"/>
      <c r="Z8" s="455"/>
      <c r="AA8" s="164">
        <v>0.63300000000000001</v>
      </c>
      <c r="AB8" s="596" t="s">
        <v>36</v>
      </c>
      <c r="AC8" s="165">
        <f>'Ribassi PE'!$K$6</f>
        <v>0.67</v>
      </c>
      <c r="AD8" s="166">
        <f t="shared" si="0"/>
        <v>0.20899999999999999</v>
      </c>
      <c r="AE8" s="165">
        <f>'Ribassi PE'!$M$6</f>
        <v>0.5</v>
      </c>
      <c r="AF8" s="166">
        <f t="shared" si="1"/>
        <v>0.317</v>
      </c>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67.5" x14ac:dyDescent="0.2">
      <c r="A9" s="575"/>
      <c r="B9" s="206" t="s">
        <v>441</v>
      </c>
      <c r="C9" s="536" t="s">
        <v>449</v>
      </c>
      <c r="D9" s="529" t="s">
        <v>456</v>
      </c>
      <c r="E9" s="534" t="s">
        <v>465</v>
      </c>
      <c r="F9" s="244" t="s">
        <v>466</v>
      </c>
      <c r="G9" s="850">
        <v>2</v>
      </c>
      <c r="H9" s="455"/>
      <c r="I9" s="455"/>
      <c r="J9" s="455"/>
      <c r="K9" s="455"/>
      <c r="L9" s="455"/>
      <c r="M9" s="455"/>
      <c r="N9" s="455"/>
      <c r="O9" s="455"/>
      <c r="P9" s="455"/>
      <c r="Q9" s="455"/>
      <c r="R9" s="455"/>
      <c r="S9" s="455"/>
      <c r="T9" s="455"/>
      <c r="U9" s="455"/>
      <c r="V9" s="455"/>
      <c r="W9" s="455"/>
      <c r="X9" s="455"/>
      <c r="Y9" s="455"/>
      <c r="Z9" s="455"/>
      <c r="AA9" s="134">
        <v>336.279</v>
      </c>
      <c r="AB9" s="596" t="s">
        <v>36</v>
      </c>
      <c r="AC9" s="135">
        <f>'Ribassi PE'!$K$6</f>
        <v>0.67</v>
      </c>
      <c r="AD9" s="136">
        <f t="shared" si="0"/>
        <v>110.97199999999999</v>
      </c>
      <c r="AE9" s="135">
        <f>'Ribassi PE'!$M$6</f>
        <v>0.5</v>
      </c>
      <c r="AF9" s="136">
        <f t="shared" si="1"/>
        <v>168.14</v>
      </c>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112.5" x14ac:dyDescent="0.2">
      <c r="A10" s="575"/>
      <c r="B10" s="206" t="s">
        <v>442</v>
      </c>
      <c r="C10" s="536" t="s">
        <v>450</v>
      </c>
      <c r="D10" s="529" t="s">
        <v>457</v>
      </c>
      <c r="E10" s="245" t="s">
        <v>467</v>
      </c>
      <c r="F10" s="244" t="s">
        <v>468</v>
      </c>
      <c r="G10" s="850">
        <v>29</v>
      </c>
      <c r="H10" s="455"/>
      <c r="I10" s="455"/>
      <c r="J10" s="455"/>
      <c r="K10" s="455"/>
      <c r="L10" s="455"/>
      <c r="M10" s="455"/>
      <c r="N10" s="455"/>
      <c r="O10" s="455"/>
      <c r="P10" s="455"/>
      <c r="Q10" s="455"/>
      <c r="R10" s="455"/>
      <c r="S10" s="455"/>
      <c r="T10" s="455"/>
      <c r="U10" s="455"/>
      <c r="V10" s="455"/>
      <c r="W10" s="455"/>
      <c r="X10" s="455"/>
      <c r="Y10" s="455"/>
      <c r="Z10" s="455"/>
      <c r="AA10" s="134">
        <v>127.27200000000001</v>
      </c>
      <c r="AB10" s="596" t="s">
        <v>36</v>
      </c>
      <c r="AC10" s="135">
        <f>'Ribassi PE'!$K$6</f>
        <v>0.67</v>
      </c>
      <c r="AD10" s="136">
        <f t="shared" si="0"/>
        <v>42</v>
      </c>
      <c r="AE10" s="135">
        <f>'Ribassi PE'!$M$6</f>
        <v>0.5</v>
      </c>
      <c r="AF10" s="136">
        <f t="shared" si="1"/>
        <v>63.636000000000003</v>
      </c>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45" x14ac:dyDescent="0.2">
      <c r="A11" s="575"/>
      <c r="B11" s="206" t="s">
        <v>443</v>
      </c>
      <c r="C11" s="536" t="s">
        <v>451</v>
      </c>
      <c r="D11" s="529" t="s">
        <v>458</v>
      </c>
      <c r="E11" s="245" t="s">
        <v>469</v>
      </c>
      <c r="F11" s="244" t="s">
        <v>306</v>
      </c>
      <c r="G11" s="850"/>
      <c r="H11" s="455"/>
      <c r="I11" s="455"/>
      <c r="J11" s="455"/>
      <c r="K11" s="455"/>
      <c r="L11" s="455"/>
      <c r="M11" s="455"/>
      <c r="N11" s="455"/>
      <c r="O11" s="455"/>
      <c r="P11" s="455"/>
      <c r="Q11" s="455"/>
      <c r="R11" s="455"/>
      <c r="S11" s="455"/>
      <c r="T11" s="455"/>
      <c r="U11" s="455"/>
      <c r="V11" s="455"/>
      <c r="W11" s="455"/>
      <c r="X11" s="455"/>
      <c r="Y11" s="455"/>
      <c r="Z11" s="455"/>
      <c r="AA11" s="164">
        <v>23.738</v>
      </c>
      <c r="AB11" s="596" t="s">
        <v>36</v>
      </c>
      <c r="AC11" s="165">
        <f>'Ribassi PE'!$K$6</f>
        <v>0.67</v>
      </c>
      <c r="AD11" s="166">
        <f t="shared" si="0"/>
        <v>7.8339999999999996</v>
      </c>
      <c r="AE11" s="165">
        <f>'Ribassi PE'!$M$6</f>
        <v>0.5</v>
      </c>
      <c r="AF11" s="166">
        <f t="shared" si="1"/>
        <v>11.869</v>
      </c>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56.25" x14ac:dyDescent="0.2">
      <c r="A12" s="575"/>
      <c r="B12" s="206" t="s">
        <v>444</v>
      </c>
      <c r="C12" s="536" t="s">
        <v>452</v>
      </c>
      <c r="D12" s="529" t="s">
        <v>459</v>
      </c>
      <c r="E12" s="245" t="s">
        <v>470</v>
      </c>
      <c r="F12" s="244" t="s">
        <v>471</v>
      </c>
      <c r="G12" s="850">
        <v>1050</v>
      </c>
      <c r="H12" s="455"/>
      <c r="I12" s="455"/>
      <c r="J12" s="455"/>
      <c r="K12" s="455"/>
      <c r="L12" s="455"/>
      <c r="M12" s="455"/>
      <c r="N12" s="455"/>
      <c r="O12" s="455"/>
      <c r="P12" s="455"/>
      <c r="Q12" s="455"/>
      <c r="R12" s="455"/>
      <c r="S12" s="455"/>
      <c r="T12" s="455"/>
      <c r="U12" s="455"/>
      <c r="V12" s="455"/>
      <c r="W12" s="455"/>
      <c r="X12" s="455"/>
      <c r="Y12" s="455"/>
      <c r="Z12" s="455"/>
      <c r="AA12" s="164">
        <v>1.0589999999999999</v>
      </c>
      <c r="AB12" s="596" t="s">
        <v>36</v>
      </c>
      <c r="AC12" s="165">
        <f>'Ribassi PE'!$K$6</f>
        <v>0.67</v>
      </c>
      <c r="AD12" s="166">
        <f t="shared" si="0"/>
        <v>0.34899999999999998</v>
      </c>
      <c r="AE12" s="165">
        <f>'Ribassi PE'!$M$6</f>
        <v>0.5</v>
      </c>
      <c r="AF12" s="166">
        <f t="shared" si="1"/>
        <v>0.53</v>
      </c>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90" x14ac:dyDescent="0.2">
      <c r="A13" s="575"/>
      <c r="B13" s="206" t="s">
        <v>445</v>
      </c>
      <c r="C13" s="536" t="s">
        <v>453</v>
      </c>
      <c r="D13" s="529" t="s">
        <v>460</v>
      </c>
      <c r="E13" s="245" t="s">
        <v>472</v>
      </c>
      <c r="F13" s="244" t="s">
        <v>1175</v>
      </c>
      <c r="G13" s="850"/>
      <c r="H13" s="455"/>
      <c r="I13" s="455"/>
      <c r="J13" s="455"/>
      <c r="K13" s="455"/>
      <c r="L13" s="455"/>
      <c r="M13" s="455"/>
      <c r="N13" s="455"/>
      <c r="O13" s="455"/>
      <c r="P13" s="455"/>
      <c r="Q13" s="455"/>
      <c r="R13" s="455"/>
      <c r="S13" s="455"/>
      <c r="T13" s="455"/>
      <c r="U13" s="455"/>
      <c r="V13" s="455"/>
      <c r="W13" s="455"/>
      <c r="X13" s="455"/>
      <c r="Y13" s="455"/>
      <c r="Z13" s="455"/>
      <c r="AA13" s="164">
        <v>333.42500000000001</v>
      </c>
      <c r="AB13" s="596" t="s">
        <v>36</v>
      </c>
      <c r="AC13" s="165">
        <f>'Ribassi PE'!$K$6</f>
        <v>0.67</v>
      </c>
      <c r="AD13" s="166">
        <f t="shared" si="0"/>
        <v>110.03</v>
      </c>
      <c r="AE13" s="165">
        <f>'Ribassi PE'!$M$6</f>
        <v>0.5</v>
      </c>
      <c r="AF13" s="166">
        <f t="shared" si="1"/>
        <v>166.71299999999999</v>
      </c>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68.25" thickBot="1" x14ac:dyDescent="0.25">
      <c r="A14" s="578"/>
      <c r="B14" s="208" t="s">
        <v>446</v>
      </c>
      <c r="C14" s="209" t="s">
        <v>454</v>
      </c>
      <c r="D14" s="532" t="s">
        <v>461</v>
      </c>
      <c r="E14" s="535" t="s">
        <v>473</v>
      </c>
      <c r="F14" s="246" t="s">
        <v>471</v>
      </c>
      <c r="G14" s="851">
        <v>440</v>
      </c>
      <c r="H14" s="456"/>
      <c r="I14" s="456"/>
      <c r="J14" s="456"/>
      <c r="K14" s="456"/>
      <c r="L14" s="456"/>
      <c r="M14" s="456"/>
      <c r="N14" s="456"/>
      <c r="O14" s="456"/>
      <c r="P14" s="456"/>
      <c r="Q14" s="456"/>
      <c r="R14" s="456"/>
      <c r="S14" s="456"/>
      <c r="T14" s="456"/>
      <c r="U14" s="456"/>
      <c r="V14" s="456"/>
      <c r="W14" s="456"/>
      <c r="X14" s="456"/>
      <c r="Y14" s="456"/>
      <c r="Z14" s="456"/>
      <c r="AA14" s="137">
        <v>0.46</v>
      </c>
      <c r="AB14" s="597" t="s">
        <v>36</v>
      </c>
      <c r="AC14" s="138">
        <f>'Ribassi PE'!$K$6</f>
        <v>0.67</v>
      </c>
      <c r="AD14" s="139">
        <f t="shared" si="0"/>
        <v>0.152</v>
      </c>
      <c r="AE14" s="138">
        <f>'Ribassi PE'!$M$6</f>
        <v>0.5</v>
      </c>
      <c r="AF14" s="139">
        <f t="shared" si="1"/>
        <v>0.23</v>
      </c>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s="99" customFormat="1" ht="12.75" thickBot="1" x14ac:dyDescent="0.25">
      <c r="A15" s="98"/>
      <c r="B15" s="98"/>
      <c r="C15" s="98"/>
      <c r="D15" s="98"/>
      <c r="E15" s="98"/>
      <c r="F15" s="125" t="s">
        <v>329</v>
      </c>
      <c r="G15" s="126">
        <f t="shared" ref="G15:Z15" si="2">SUMPRODUCT(G7:G14,$AA$7:$AA$14)*G$4/12</f>
        <v>92181.560000000012</v>
      </c>
      <c r="H15" s="126">
        <f t="shared" si="2"/>
        <v>0</v>
      </c>
      <c r="I15" s="126">
        <f t="shared" si="2"/>
        <v>0</v>
      </c>
      <c r="J15" s="126">
        <f t="shared" si="2"/>
        <v>0</v>
      </c>
      <c r="K15" s="126">
        <f t="shared" si="2"/>
        <v>0</v>
      </c>
      <c r="L15" s="126">
        <f t="shared" si="2"/>
        <v>0</v>
      </c>
      <c r="M15" s="126">
        <f t="shared" si="2"/>
        <v>0</v>
      </c>
      <c r="N15" s="126">
        <f t="shared" si="2"/>
        <v>0</v>
      </c>
      <c r="O15" s="126">
        <f t="shared" si="2"/>
        <v>0</v>
      </c>
      <c r="P15" s="126">
        <f t="shared" si="2"/>
        <v>0</v>
      </c>
      <c r="Q15" s="126">
        <f t="shared" si="2"/>
        <v>0</v>
      </c>
      <c r="R15" s="126">
        <f t="shared" si="2"/>
        <v>0</v>
      </c>
      <c r="S15" s="126">
        <f t="shared" si="2"/>
        <v>0</v>
      </c>
      <c r="T15" s="126">
        <f t="shared" si="2"/>
        <v>0</v>
      </c>
      <c r="U15" s="126">
        <f t="shared" si="2"/>
        <v>0</v>
      </c>
      <c r="V15" s="126">
        <f t="shared" si="2"/>
        <v>0</v>
      </c>
      <c r="W15" s="126">
        <f t="shared" si="2"/>
        <v>0</v>
      </c>
      <c r="X15" s="126">
        <f t="shared" si="2"/>
        <v>0</v>
      </c>
      <c r="Y15" s="126">
        <f t="shared" si="2"/>
        <v>0</v>
      </c>
      <c r="Z15" s="126">
        <f t="shared" si="2"/>
        <v>0</v>
      </c>
      <c r="AA15" s="97"/>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6"/>
    </row>
    <row r="16" spans="1:57" s="99" customFormat="1" ht="12.75" thickBot="1" x14ac:dyDescent="0.25">
      <c r="A16" s="98"/>
      <c r="B16" s="98"/>
      <c r="C16" s="98"/>
      <c r="D16" s="98"/>
      <c r="E16" s="98"/>
      <c r="F16" s="581" t="s">
        <v>330</v>
      </c>
      <c r="G16" s="201">
        <f t="shared" ref="G16:Z16" si="3">SUMPRODUCT(G7:G14,$AD$7:$AD$14)*G$4/12</f>
        <v>30429.887999999995</v>
      </c>
      <c r="H16" s="201">
        <f t="shared" si="3"/>
        <v>0</v>
      </c>
      <c r="I16" s="201">
        <f t="shared" si="3"/>
        <v>0</v>
      </c>
      <c r="J16" s="201">
        <f t="shared" si="3"/>
        <v>0</v>
      </c>
      <c r="K16" s="201">
        <f t="shared" si="3"/>
        <v>0</v>
      </c>
      <c r="L16" s="201">
        <f t="shared" si="3"/>
        <v>0</v>
      </c>
      <c r="M16" s="201">
        <f t="shared" si="3"/>
        <v>0</v>
      </c>
      <c r="N16" s="201">
        <f t="shared" si="3"/>
        <v>0</v>
      </c>
      <c r="O16" s="201">
        <f t="shared" si="3"/>
        <v>0</v>
      </c>
      <c r="P16" s="201">
        <f t="shared" si="3"/>
        <v>0</v>
      </c>
      <c r="Q16" s="201">
        <f t="shared" si="3"/>
        <v>0</v>
      </c>
      <c r="R16" s="201">
        <f t="shared" si="3"/>
        <v>0</v>
      </c>
      <c r="S16" s="201">
        <f t="shared" si="3"/>
        <v>0</v>
      </c>
      <c r="T16" s="201">
        <f t="shared" si="3"/>
        <v>0</v>
      </c>
      <c r="U16" s="201">
        <f t="shared" si="3"/>
        <v>0</v>
      </c>
      <c r="V16" s="201">
        <f t="shared" si="3"/>
        <v>0</v>
      </c>
      <c r="W16" s="201">
        <f t="shared" si="3"/>
        <v>0</v>
      </c>
      <c r="X16" s="201">
        <f t="shared" si="3"/>
        <v>0</v>
      </c>
      <c r="Y16" s="201">
        <f t="shared" si="3"/>
        <v>0</v>
      </c>
      <c r="Z16" s="202">
        <f t="shared" si="3"/>
        <v>0</v>
      </c>
      <c r="AA16" s="97"/>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6"/>
    </row>
    <row r="17" spans="1:57" s="99" customFormat="1" ht="12.75" thickBot="1" x14ac:dyDescent="0.25">
      <c r="A17" s="98"/>
      <c r="B17" s="98"/>
      <c r="C17" s="98"/>
      <c r="D17" s="98"/>
      <c r="E17" s="98"/>
      <c r="F17" s="581" t="s">
        <v>331</v>
      </c>
      <c r="G17" s="201">
        <f t="shared" ref="G17:Z17" si="4">SUMPRODUCT(G7:G14,$AF$7:$AF$14)*G$4/12</f>
        <v>46145.464000000007</v>
      </c>
      <c r="H17" s="201">
        <f t="shared" si="4"/>
        <v>0</v>
      </c>
      <c r="I17" s="201">
        <f t="shared" si="4"/>
        <v>0</v>
      </c>
      <c r="J17" s="201">
        <f t="shared" si="4"/>
        <v>0</v>
      </c>
      <c r="K17" s="201">
        <f t="shared" si="4"/>
        <v>0</v>
      </c>
      <c r="L17" s="201">
        <f t="shared" si="4"/>
        <v>0</v>
      </c>
      <c r="M17" s="201">
        <f t="shared" si="4"/>
        <v>0</v>
      </c>
      <c r="N17" s="201">
        <f t="shared" si="4"/>
        <v>0</v>
      </c>
      <c r="O17" s="201">
        <f t="shared" si="4"/>
        <v>0</v>
      </c>
      <c r="P17" s="201">
        <f t="shared" si="4"/>
        <v>0</v>
      </c>
      <c r="Q17" s="201">
        <f t="shared" si="4"/>
        <v>0</v>
      </c>
      <c r="R17" s="201">
        <f t="shared" si="4"/>
        <v>0</v>
      </c>
      <c r="S17" s="201">
        <f t="shared" si="4"/>
        <v>0</v>
      </c>
      <c r="T17" s="201">
        <f t="shared" si="4"/>
        <v>0</v>
      </c>
      <c r="U17" s="201">
        <f t="shared" si="4"/>
        <v>0</v>
      </c>
      <c r="V17" s="201">
        <f t="shared" si="4"/>
        <v>0</v>
      </c>
      <c r="W17" s="201">
        <f t="shared" si="4"/>
        <v>0</v>
      </c>
      <c r="X17" s="201">
        <f t="shared" si="4"/>
        <v>0</v>
      </c>
      <c r="Y17" s="201">
        <f t="shared" si="4"/>
        <v>0</v>
      </c>
      <c r="Z17" s="202">
        <f t="shared" si="4"/>
        <v>0</v>
      </c>
      <c r="AA17" s="97"/>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6"/>
    </row>
    <row r="18" spans="1:57" x14ac:dyDescent="0.2">
      <c r="A18" s="576"/>
      <c r="B18" s="98"/>
      <c r="C18" s="98"/>
      <c r="D18" s="98"/>
      <c r="E18" s="98"/>
      <c r="F18" s="98"/>
      <c r="G18" s="576"/>
      <c r="H18" s="576"/>
      <c r="I18" s="576"/>
      <c r="J18" s="576"/>
      <c r="K18" s="576"/>
      <c r="L18" s="576"/>
      <c r="M18" s="576"/>
      <c r="N18" s="576"/>
      <c r="O18" s="576"/>
      <c r="P18" s="576"/>
      <c r="Q18" s="576"/>
      <c r="R18" s="576"/>
      <c r="S18" s="576"/>
      <c r="T18" s="576"/>
      <c r="U18" s="576"/>
      <c r="V18" s="576"/>
      <c r="W18" s="576"/>
      <c r="X18" s="576"/>
      <c r="Y18" s="576"/>
      <c r="Z18" s="576"/>
      <c r="AA18" s="98"/>
      <c r="AB18" s="98"/>
      <c r="AC18" s="98"/>
      <c r="AD18" s="98"/>
      <c r="AE18" s="98"/>
      <c r="AF18" s="98"/>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x14ac:dyDescent="0.2">
      <c r="A19" s="576"/>
      <c r="B19" s="98"/>
      <c r="C19" s="98"/>
      <c r="D19" s="98"/>
      <c r="E19" s="98"/>
      <c r="F19" s="98"/>
      <c r="G19" s="576"/>
      <c r="H19" s="576"/>
      <c r="I19" s="576"/>
      <c r="J19" s="576"/>
      <c r="K19" s="576"/>
      <c r="L19" s="576"/>
      <c r="M19" s="576"/>
      <c r="N19" s="576"/>
      <c r="O19" s="576"/>
      <c r="P19" s="576"/>
      <c r="Q19" s="576"/>
      <c r="R19" s="576"/>
      <c r="S19" s="576"/>
      <c r="T19" s="576"/>
      <c r="U19" s="576"/>
      <c r="V19" s="576"/>
      <c r="W19" s="576"/>
      <c r="X19" s="576"/>
      <c r="Y19" s="576"/>
      <c r="Z19" s="576"/>
      <c r="AA19" s="98"/>
      <c r="AB19" s="98"/>
      <c r="AC19" s="98"/>
      <c r="AD19" s="98"/>
      <c r="AE19" s="98"/>
      <c r="AF19" s="98"/>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7"/>
    </row>
    <row r="20" spans="1:57" x14ac:dyDescent="0.2">
      <c r="A20" s="576"/>
      <c r="B20" s="98"/>
      <c r="C20" s="98"/>
      <c r="D20" s="98"/>
      <c r="E20" s="98"/>
      <c r="F20" s="98"/>
      <c r="G20" s="576"/>
      <c r="H20" s="576"/>
      <c r="I20" s="576"/>
      <c r="J20" s="576"/>
      <c r="K20" s="576"/>
      <c r="L20" s="576"/>
      <c r="M20" s="576"/>
      <c r="N20" s="576"/>
      <c r="O20" s="576"/>
      <c r="P20" s="576"/>
      <c r="Q20" s="576"/>
      <c r="R20" s="576"/>
      <c r="S20" s="576"/>
      <c r="T20" s="576"/>
      <c r="U20" s="576"/>
      <c r="V20" s="576"/>
      <c r="W20" s="576"/>
      <c r="X20" s="576"/>
      <c r="Y20" s="576"/>
      <c r="Z20" s="576"/>
      <c r="AA20" s="98"/>
      <c r="AB20" s="98"/>
      <c r="AC20" s="98"/>
      <c r="AD20" s="98"/>
      <c r="AE20" s="98"/>
      <c r="AF20" s="98"/>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7"/>
    </row>
    <row r="21" spans="1:57" x14ac:dyDescent="0.2">
      <c r="A21" s="576"/>
      <c r="B21" s="98"/>
      <c r="C21" s="98"/>
      <c r="D21" s="98"/>
      <c r="E21" s="98"/>
      <c r="F21" s="98"/>
      <c r="G21" s="576"/>
      <c r="H21" s="576"/>
      <c r="I21" s="576"/>
      <c r="J21" s="576"/>
      <c r="K21" s="576"/>
      <c r="L21" s="576"/>
      <c r="M21" s="576"/>
      <c r="N21" s="576"/>
      <c r="O21" s="576"/>
      <c r="P21" s="576"/>
      <c r="Q21" s="576"/>
      <c r="R21" s="576"/>
      <c r="S21" s="576"/>
      <c r="T21" s="576"/>
      <c r="U21" s="576"/>
      <c r="V21" s="576"/>
      <c r="W21" s="576"/>
      <c r="X21" s="576"/>
      <c r="Y21" s="576"/>
      <c r="Z21" s="576"/>
      <c r="AA21" s="98"/>
      <c r="AB21" s="98"/>
      <c r="AC21" s="98"/>
      <c r="AD21" s="98"/>
      <c r="AE21" s="98"/>
      <c r="AF21" s="98"/>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7"/>
    </row>
    <row r="22" spans="1:57" x14ac:dyDescent="0.2">
      <c r="A22" s="576"/>
      <c r="B22" s="98"/>
      <c r="C22" s="98"/>
      <c r="D22" s="98"/>
      <c r="E22" s="98"/>
      <c r="F22" s="98"/>
      <c r="G22" s="576"/>
      <c r="H22" s="576"/>
      <c r="I22" s="576"/>
      <c r="J22" s="576"/>
      <c r="K22" s="576"/>
      <c r="L22" s="576"/>
      <c r="M22" s="576"/>
      <c r="N22" s="576"/>
      <c r="O22" s="576"/>
      <c r="P22" s="576"/>
      <c r="Q22" s="576"/>
      <c r="R22" s="576"/>
      <c r="S22" s="576"/>
      <c r="T22" s="576"/>
      <c r="U22" s="576"/>
      <c r="V22" s="576"/>
      <c r="W22" s="576"/>
      <c r="X22" s="576"/>
      <c r="Y22" s="576"/>
      <c r="Z22" s="576"/>
      <c r="AA22" s="98"/>
      <c r="AB22" s="98"/>
      <c r="AC22" s="98"/>
      <c r="AD22" s="98"/>
      <c r="AE22" s="98"/>
      <c r="AF22" s="98"/>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x14ac:dyDescent="0.2">
      <c r="A23" s="576"/>
      <c r="B23" s="98"/>
      <c r="C23" s="98"/>
      <c r="D23" s="98"/>
      <c r="E23" s="98"/>
      <c r="F23" s="98"/>
      <c r="G23" s="576"/>
      <c r="H23" s="576"/>
      <c r="I23" s="576"/>
      <c r="J23" s="576"/>
      <c r="K23" s="576"/>
      <c r="L23" s="576"/>
      <c r="M23" s="576"/>
      <c r="N23" s="576"/>
      <c r="O23" s="576"/>
      <c r="P23" s="576"/>
      <c r="Q23" s="576"/>
      <c r="R23" s="576"/>
      <c r="S23" s="576"/>
      <c r="T23" s="576"/>
      <c r="U23" s="576"/>
      <c r="V23" s="576"/>
      <c r="W23" s="576"/>
      <c r="X23" s="576"/>
      <c r="Y23" s="576"/>
      <c r="Z23" s="576"/>
      <c r="AA23" s="98"/>
      <c r="AB23" s="98"/>
      <c r="AC23" s="98"/>
      <c r="AD23" s="98"/>
      <c r="AE23" s="98"/>
      <c r="AF23" s="98"/>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x14ac:dyDescent="0.2">
      <c r="A24" s="576"/>
      <c r="B24" s="98"/>
      <c r="C24" s="98"/>
      <c r="D24" s="98"/>
      <c r="E24" s="98"/>
      <c r="F24" s="98"/>
      <c r="G24" s="576"/>
      <c r="H24" s="576"/>
      <c r="I24" s="576"/>
      <c r="J24" s="576"/>
      <c r="K24" s="576"/>
      <c r="L24" s="576"/>
      <c r="M24" s="576"/>
      <c r="N24" s="576"/>
      <c r="O24" s="576"/>
      <c r="P24" s="576"/>
      <c r="Q24" s="576"/>
      <c r="R24" s="576"/>
      <c r="S24" s="576"/>
      <c r="T24" s="576"/>
      <c r="U24" s="576"/>
      <c r="V24" s="576"/>
      <c r="W24" s="576"/>
      <c r="X24" s="576"/>
      <c r="Y24" s="576"/>
      <c r="Z24" s="576"/>
      <c r="AA24" s="98"/>
      <c r="AB24" s="98"/>
      <c r="AC24" s="98"/>
      <c r="AD24" s="98"/>
      <c r="AE24" s="98"/>
      <c r="AF24" s="98"/>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x14ac:dyDescent="0.2">
      <c r="A25" s="576"/>
      <c r="B25" s="98"/>
      <c r="C25" s="98"/>
      <c r="D25" s="98"/>
      <c r="E25" s="98"/>
      <c r="F25" s="98"/>
      <c r="G25" s="576"/>
      <c r="H25" s="576"/>
      <c r="I25" s="576"/>
      <c r="J25" s="576"/>
      <c r="K25" s="576"/>
      <c r="L25" s="576"/>
      <c r="M25" s="576"/>
      <c r="N25" s="576"/>
      <c r="O25" s="576"/>
      <c r="P25" s="576"/>
      <c r="Q25" s="576"/>
      <c r="R25" s="576"/>
      <c r="S25" s="576"/>
      <c r="T25" s="576"/>
      <c r="U25" s="576"/>
      <c r="V25" s="576"/>
      <c r="W25" s="576"/>
      <c r="X25" s="576"/>
      <c r="Y25" s="576"/>
      <c r="Z25" s="576"/>
      <c r="AA25" s="98"/>
      <c r="AB25" s="98"/>
      <c r="AC25" s="98"/>
      <c r="AD25" s="98"/>
      <c r="AE25" s="98"/>
      <c r="AF25" s="98"/>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x14ac:dyDescent="0.2">
      <c r="A26" s="576"/>
      <c r="B26" s="98"/>
      <c r="C26" s="98"/>
      <c r="D26" s="98"/>
      <c r="E26" s="98"/>
      <c r="F26" s="98"/>
      <c r="G26" s="576"/>
      <c r="H26" s="576"/>
      <c r="I26" s="576"/>
      <c r="J26" s="576"/>
      <c r="K26" s="576"/>
      <c r="L26" s="576"/>
      <c r="M26" s="576"/>
      <c r="N26" s="576"/>
      <c r="O26" s="576"/>
      <c r="P26" s="576"/>
      <c r="Q26" s="576"/>
      <c r="R26" s="576"/>
      <c r="S26" s="576"/>
      <c r="T26" s="576"/>
      <c r="U26" s="576"/>
      <c r="V26" s="576"/>
      <c r="W26" s="576"/>
      <c r="X26" s="576"/>
      <c r="Y26" s="576"/>
      <c r="Z26" s="576"/>
      <c r="AA26" s="98"/>
      <c r="AB26" s="98"/>
      <c r="AC26" s="98"/>
      <c r="AD26" s="98"/>
      <c r="AE26" s="98"/>
      <c r="AF26" s="98"/>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x14ac:dyDescent="0.2">
      <c r="A27" s="576"/>
      <c r="B27" s="98"/>
      <c r="C27" s="98"/>
      <c r="D27" s="98"/>
      <c r="E27" s="98"/>
      <c r="F27" s="98"/>
      <c r="G27" s="576"/>
      <c r="H27" s="576"/>
      <c r="I27" s="576"/>
      <c r="J27" s="576"/>
      <c r="K27" s="576"/>
      <c r="L27" s="576"/>
      <c r="M27" s="576"/>
      <c r="N27" s="576"/>
      <c r="O27" s="576"/>
      <c r="P27" s="576"/>
      <c r="Q27" s="576"/>
      <c r="R27" s="576"/>
      <c r="S27" s="576"/>
      <c r="T27" s="576"/>
      <c r="U27" s="576"/>
      <c r="V27" s="576"/>
      <c r="W27" s="576"/>
      <c r="X27" s="576"/>
      <c r="Y27" s="576"/>
      <c r="Z27" s="576"/>
      <c r="AA27" s="98"/>
      <c r="AB27" s="98"/>
      <c r="AC27" s="98"/>
      <c r="AD27" s="98"/>
      <c r="AE27" s="98"/>
      <c r="AF27" s="98"/>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x14ac:dyDescent="0.2">
      <c r="A28" s="576"/>
      <c r="B28" s="98"/>
      <c r="C28" s="98"/>
      <c r="D28" s="98"/>
      <c r="E28" s="98"/>
      <c r="F28" s="98"/>
      <c r="G28" s="576"/>
      <c r="H28" s="576"/>
      <c r="I28" s="576"/>
      <c r="J28" s="576"/>
      <c r="K28" s="576"/>
      <c r="L28" s="576"/>
      <c r="M28" s="576"/>
      <c r="N28" s="576"/>
      <c r="O28" s="576"/>
      <c r="P28" s="576"/>
      <c r="Q28" s="576"/>
      <c r="R28" s="576"/>
      <c r="S28" s="576"/>
      <c r="T28" s="576"/>
      <c r="U28" s="576"/>
      <c r="V28" s="576"/>
      <c r="W28" s="576"/>
      <c r="X28" s="576"/>
      <c r="Y28" s="576"/>
      <c r="Z28" s="576"/>
      <c r="AA28" s="98"/>
      <c r="AB28" s="98"/>
      <c r="AC28" s="98"/>
      <c r="AD28" s="98"/>
      <c r="AE28" s="98"/>
      <c r="AF28" s="98"/>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x14ac:dyDescent="0.2">
      <c r="A29" s="576"/>
      <c r="B29" s="98"/>
      <c r="C29" s="98"/>
      <c r="D29" s="98"/>
      <c r="E29" s="98"/>
      <c r="F29" s="98"/>
      <c r="G29" s="576"/>
      <c r="H29" s="576"/>
      <c r="I29" s="576"/>
      <c r="J29" s="576"/>
      <c r="K29" s="576"/>
      <c r="L29" s="576"/>
      <c r="M29" s="576"/>
      <c r="N29" s="576"/>
      <c r="O29" s="576"/>
      <c r="P29" s="576"/>
      <c r="Q29" s="576"/>
      <c r="R29" s="576"/>
      <c r="S29" s="576"/>
      <c r="T29" s="576"/>
      <c r="U29" s="576"/>
      <c r="V29" s="576"/>
      <c r="W29" s="576"/>
      <c r="X29" s="576"/>
      <c r="Y29" s="576"/>
      <c r="Z29" s="576"/>
      <c r="AA29" s="98"/>
      <c r="AB29" s="98"/>
      <c r="AC29" s="98"/>
      <c r="AD29" s="98"/>
      <c r="AE29" s="98"/>
      <c r="AF29" s="98"/>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x14ac:dyDescent="0.2">
      <c r="A30" s="576"/>
      <c r="B30" s="98"/>
      <c r="C30" s="98"/>
      <c r="D30" s="98"/>
      <c r="E30" s="98"/>
      <c r="F30" s="98"/>
      <c r="G30" s="576"/>
      <c r="H30" s="576"/>
      <c r="I30" s="576"/>
      <c r="J30" s="576"/>
      <c r="K30" s="576"/>
      <c r="L30" s="576"/>
      <c r="M30" s="576"/>
      <c r="N30" s="576"/>
      <c r="O30" s="576"/>
      <c r="P30" s="576"/>
      <c r="Q30" s="576"/>
      <c r="R30" s="576"/>
      <c r="S30" s="576"/>
      <c r="T30" s="576"/>
      <c r="U30" s="576"/>
      <c r="V30" s="576"/>
      <c r="W30" s="576"/>
      <c r="X30" s="576"/>
      <c r="Y30" s="576"/>
      <c r="Z30" s="576"/>
      <c r="AA30" s="98"/>
      <c r="AB30" s="98"/>
      <c r="AC30" s="98"/>
      <c r="AD30" s="98"/>
      <c r="AE30" s="98"/>
      <c r="AF30" s="98"/>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x14ac:dyDescent="0.2">
      <c r="A31" s="576"/>
      <c r="B31" s="98"/>
      <c r="C31" s="98"/>
      <c r="D31" s="98"/>
      <c r="E31" s="98"/>
      <c r="F31" s="98"/>
      <c r="G31" s="576"/>
      <c r="H31" s="576"/>
      <c r="I31" s="576"/>
      <c r="J31" s="576"/>
      <c r="K31" s="576"/>
      <c r="L31" s="576"/>
      <c r="M31" s="576"/>
      <c r="N31" s="576"/>
      <c r="O31" s="576"/>
      <c r="P31" s="576"/>
      <c r="Q31" s="576"/>
      <c r="R31" s="576"/>
      <c r="S31" s="576"/>
      <c r="T31" s="576"/>
      <c r="U31" s="576"/>
      <c r="V31" s="576"/>
      <c r="W31" s="576"/>
      <c r="X31" s="576"/>
      <c r="Y31" s="576"/>
      <c r="Z31" s="576"/>
      <c r="AA31" s="98"/>
      <c r="AB31" s="98"/>
      <c r="AC31" s="98"/>
      <c r="AD31" s="98"/>
      <c r="AE31" s="98"/>
      <c r="AF31" s="98"/>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x14ac:dyDescent="0.2">
      <c r="A32" s="576"/>
      <c r="B32" s="98"/>
      <c r="C32" s="98"/>
      <c r="D32" s="98"/>
      <c r="E32" s="98"/>
      <c r="F32" s="98"/>
      <c r="G32" s="576"/>
      <c r="H32" s="576"/>
      <c r="I32" s="576"/>
      <c r="J32" s="576"/>
      <c r="K32" s="576"/>
      <c r="L32" s="576"/>
      <c r="M32" s="576"/>
      <c r="N32" s="576"/>
      <c r="O32" s="576"/>
      <c r="P32" s="576"/>
      <c r="Q32" s="576"/>
      <c r="R32" s="576"/>
      <c r="S32" s="576"/>
      <c r="T32" s="576"/>
      <c r="U32" s="576"/>
      <c r="V32" s="576"/>
      <c r="W32" s="576"/>
      <c r="X32" s="576"/>
      <c r="Y32" s="576"/>
      <c r="Z32" s="576"/>
      <c r="AA32" s="98"/>
      <c r="AB32" s="98"/>
      <c r="AC32" s="98"/>
      <c r="AD32" s="98"/>
      <c r="AE32" s="98"/>
      <c r="AF32" s="98"/>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x14ac:dyDescent="0.2">
      <c r="A33" s="576"/>
      <c r="B33" s="98"/>
      <c r="C33" s="98"/>
      <c r="D33" s="98"/>
      <c r="E33" s="98"/>
      <c r="F33" s="98"/>
      <c r="G33" s="576"/>
      <c r="H33" s="576"/>
      <c r="I33" s="576"/>
      <c r="J33" s="576"/>
      <c r="K33" s="576"/>
      <c r="L33" s="576"/>
      <c r="M33" s="576"/>
      <c r="N33" s="576"/>
      <c r="O33" s="576"/>
      <c r="P33" s="576"/>
      <c r="Q33" s="576"/>
      <c r="R33" s="576"/>
      <c r="S33" s="576"/>
      <c r="T33" s="576"/>
      <c r="U33" s="576"/>
      <c r="V33" s="576"/>
      <c r="W33" s="576"/>
      <c r="X33" s="576"/>
      <c r="Y33" s="576"/>
      <c r="Z33" s="576"/>
      <c r="AA33" s="98"/>
      <c r="AB33" s="98"/>
      <c r="AC33" s="98"/>
      <c r="AD33" s="98"/>
      <c r="AE33" s="98"/>
      <c r="AF33" s="98"/>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x14ac:dyDescent="0.2">
      <c r="A34" s="576"/>
      <c r="B34" s="98"/>
      <c r="C34" s="98"/>
      <c r="D34" s="98"/>
      <c r="E34" s="98"/>
      <c r="F34" s="98"/>
      <c r="G34" s="576"/>
      <c r="H34" s="576"/>
      <c r="I34" s="576"/>
      <c r="J34" s="576"/>
      <c r="K34" s="576"/>
      <c r="L34" s="576"/>
      <c r="M34" s="576"/>
      <c r="N34" s="576"/>
      <c r="O34" s="576"/>
      <c r="P34" s="576"/>
      <c r="Q34" s="576"/>
      <c r="R34" s="576"/>
      <c r="S34" s="576"/>
      <c r="T34" s="576"/>
      <c r="U34" s="576"/>
      <c r="V34" s="576"/>
      <c r="W34" s="576"/>
      <c r="X34" s="576"/>
      <c r="Y34" s="576"/>
      <c r="Z34" s="576"/>
      <c r="AA34" s="98"/>
      <c r="AB34" s="98"/>
      <c r="AC34" s="98"/>
      <c r="AD34" s="98"/>
      <c r="AE34" s="98"/>
      <c r="AF34" s="98"/>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x14ac:dyDescent="0.2">
      <c r="A35" s="576"/>
      <c r="B35" s="98"/>
      <c r="C35" s="98"/>
      <c r="D35" s="98"/>
      <c r="E35" s="98"/>
      <c r="F35" s="98"/>
      <c r="G35" s="576"/>
      <c r="H35" s="576"/>
      <c r="I35" s="576"/>
      <c r="J35" s="576"/>
      <c r="K35" s="576"/>
      <c r="L35" s="576"/>
      <c r="M35" s="576"/>
      <c r="N35" s="576"/>
      <c r="O35" s="576"/>
      <c r="P35" s="576"/>
      <c r="Q35" s="576"/>
      <c r="R35" s="576"/>
      <c r="S35" s="576"/>
      <c r="T35" s="576"/>
      <c r="U35" s="576"/>
      <c r="V35" s="576"/>
      <c r="W35" s="576"/>
      <c r="X35" s="576"/>
      <c r="Y35" s="576"/>
      <c r="Z35" s="576"/>
      <c r="AA35" s="98"/>
      <c r="AB35" s="98"/>
      <c r="AC35" s="98"/>
      <c r="AD35" s="98"/>
      <c r="AE35" s="98"/>
      <c r="AF35" s="98"/>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x14ac:dyDescent="0.2">
      <c r="A36" s="576"/>
      <c r="B36" s="98"/>
      <c r="C36" s="98"/>
      <c r="D36" s="98"/>
      <c r="E36" s="98"/>
      <c r="F36" s="98"/>
      <c r="G36" s="576"/>
      <c r="H36" s="576"/>
      <c r="I36" s="576"/>
      <c r="J36" s="576"/>
      <c r="K36" s="576"/>
      <c r="L36" s="576"/>
      <c r="M36" s="576"/>
      <c r="N36" s="576"/>
      <c r="O36" s="576"/>
      <c r="P36" s="576"/>
      <c r="Q36" s="576"/>
      <c r="R36" s="576"/>
      <c r="S36" s="576"/>
      <c r="T36" s="576"/>
      <c r="U36" s="576"/>
      <c r="V36" s="576"/>
      <c r="W36" s="576"/>
      <c r="X36" s="576"/>
      <c r="Y36" s="576"/>
      <c r="Z36" s="576"/>
      <c r="AA36" s="98"/>
      <c r="AB36" s="98"/>
      <c r="AC36" s="98"/>
      <c r="AD36" s="98"/>
      <c r="AE36" s="98"/>
      <c r="AF36" s="98"/>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9"/>
      <c r="B82" s="100"/>
      <c r="C82" s="100"/>
      <c r="D82" s="100"/>
      <c r="E82" s="100"/>
      <c r="F82" s="100"/>
      <c r="G82" s="579"/>
      <c r="H82" s="579"/>
      <c r="I82" s="579"/>
      <c r="J82" s="579"/>
      <c r="K82" s="579"/>
      <c r="L82" s="579"/>
      <c r="M82" s="579"/>
      <c r="N82" s="579"/>
      <c r="O82" s="579"/>
      <c r="P82" s="579"/>
      <c r="Q82" s="579"/>
      <c r="R82" s="579"/>
      <c r="S82" s="579"/>
      <c r="T82" s="579"/>
      <c r="U82" s="579"/>
      <c r="V82" s="579"/>
      <c r="W82" s="579"/>
      <c r="X82" s="579"/>
      <c r="Y82" s="579"/>
      <c r="Z82" s="579"/>
      <c r="AA82" s="100"/>
      <c r="AB82" s="100"/>
      <c r="AC82" s="100"/>
      <c r="AD82" s="100"/>
      <c r="AE82" s="100"/>
      <c r="AF82" s="100"/>
      <c r="AG82" s="579"/>
      <c r="AH82" s="579"/>
      <c r="AI82" s="579"/>
      <c r="AJ82" s="579"/>
      <c r="AK82" s="579"/>
      <c r="AL82" s="579"/>
      <c r="AM82" s="579"/>
      <c r="AN82" s="579"/>
      <c r="AO82" s="579"/>
      <c r="AP82" s="579"/>
      <c r="AQ82" s="579"/>
      <c r="AR82" s="579"/>
      <c r="AS82" s="579"/>
      <c r="AT82" s="579"/>
      <c r="AU82" s="579"/>
      <c r="AV82" s="579"/>
      <c r="AW82" s="579"/>
      <c r="AX82" s="579"/>
      <c r="AY82" s="579"/>
      <c r="AZ82" s="579"/>
      <c r="BA82" s="579"/>
      <c r="BB82" s="579"/>
      <c r="BC82" s="579"/>
      <c r="BD82" s="579"/>
      <c r="BE82" s="580"/>
    </row>
  </sheetData>
  <sheetProtection algorithmName="SHA-512" hashValue="ylNGdAKJ5PnLqST8Q9lgqFtrHVfJhrwlAEYrkTQ0aE4nfKdjH7+SngoxseNNQtVgDAbA1Mkh3Dz8qpz4ZlYJlQ==" saltValue="aQews9bk5iNxQcvImzqSmw==" spinCount="100000" sheet="1" selectLockedCells="1"/>
  <dataConsolidate link="1"/>
  <conditionalFormatting sqref="G4:Z4 G7:Z14">
    <cfRule type="notContainsBlanks" dxfId="25"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0E00-000000000000}">
      <formula1>1</formula1>
      <formula2>48</formula2>
    </dataValidation>
  </dataValidations>
  <pageMargins left="0.7" right="0.7" top="0.75" bottom="0.75" header="0.3" footer="0.3"/>
  <pageSetup paperSize="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1"/>
  <dimension ref="A1:BE86"/>
  <sheetViews>
    <sheetView zoomScaleNormal="100" workbookViewId="0">
      <pane xSplit="6" ySplit="6" topLeftCell="G7" activePane="bottomRight" state="frozen"/>
      <selection pane="topRight" activeCell="G1" sqref="G1"/>
      <selection pane="bottomLeft" activeCell="A7" sqref="A7"/>
      <selection pane="bottomRight" activeCell="I11" sqref="I11"/>
    </sheetView>
  </sheetViews>
  <sheetFormatPr defaultColWidth="9.140625" defaultRowHeight="11.25" x14ac:dyDescent="0.2"/>
  <cols>
    <col min="1" max="1" width="0.5703125" style="573" customWidth="1"/>
    <col min="2" max="2" width="10.140625" style="99" customWidth="1"/>
    <col min="3" max="3" width="22.5703125" style="99" customWidth="1"/>
    <col min="4" max="4" width="9.85546875" style="99" bestFit="1" customWidth="1"/>
    <col min="5" max="5" width="29" style="99" customWidth="1"/>
    <col min="6" max="6" width="14.42578125" style="99" bestFit="1" customWidth="1"/>
    <col min="7" max="26" width="12.5703125" style="573"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s="99" customFormat="1" ht="12" thickBot="1" x14ac:dyDescent="0.25"/>
    <row r="2" spans="1:57" s="118" customFormat="1" ht="12.75" thickBot="1" x14ac:dyDescent="0.25">
      <c r="G2" s="148" t="s">
        <v>308</v>
      </c>
      <c r="H2" s="148" t="s">
        <v>309</v>
      </c>
      <c r="I2" s="148" t="s">
        <v>310</v>
      </c>
      <c r="J2" s="148" t="s">
        <v>311</v>
      </c>
      <c r="K2" s="148" t="s">
        <v>312</v>
      </c>
      <c r="L2" s="148" t="s">
        <v>313</v>
      </c>
      <c r="M2" s="148" t="s">
        <v>314</v>
      </c>
      <c r="N2" s="148" t="s">
        <v>315</v>
      </c>
      <c r="O2" s="148" t="s">
        <v>316</v>
      </c>
      <c r="P2" s="148" t="s">
        <v>317</v>
      </c>
      <c r="Q2" s="148" t="s">
        <v>318</v>
      </c>
      <c r="R2" s="148" t="s">
        <v>319</v>
      </c>
      <c r="S2" s="148" t="s">
        <v>320</v>
      </c>
      <c r="T2" s="148" t="s">
        <v>321</v>
      </c>
      <c r="U2" s="148" t="s">
        <v>322</v>
      </c>
      <c r="V2" s="148" t="s">
        <v>323</v>
      </c>
      <c r="W2" s="148" t="s">
        <v>324</v>
      </c>
      <c r="X2" s="148" t="s">
        <v>325</v>
      </c>
      <c r="Y2" s="148" t="s">
        <v>326</v>
      </c>
      <c r="Z2" s="148" t="s">
        <v>327</v>
      </c>
    </row>
    <row r="3" spans="1:57" s="119" customFormat="1" ht="24.6" customHeight="1" thickBot="1" x14ac:dyDescent="0.3">
      <c r="F3" s="124" t="s">
        <v>1170</v>
      </c>
      <c r="G3" s="488" t="str">
        <f>IF('Elenco immobili'!$C$4="","",'Elenco immobili'!$C$4)</f>
        <v>Sede ICE-AGID</v>
      </c>
      <c r="H3" s="488" t="str">
        <f>IF('Elenco immobili'!$C$5="","",'Elenco immobili'!$C$5)</f>
        <v/>
      </c>
      <c r="I3" s="488" t="str">
        <f>IF('Elenco immobili'!$C$6="","",'Elenco immobili'!$C$6)</f>
        <v/>
      </c>
      <c r="J3" s="488" t="str">
        <f>IF('Elenco immobili'!$C$7="","",'Elenco immobili'!$C$7)</f>
        <v/>
      </c>
      <c r="K3" s="488" t="str">
        <f>IF('Elenco immobili'!$C$8="","",'Elenco immobili'!$C$8)</f>
        <v/>
      </c>
      <c r="L3" s="488" t="str">
        <f>IF('Elenco immobili'!$C$9="","",'Elenco immobili'!$C$9)</f>
        <v/>
      </c>
      <c r="M3" s="488" t="str">
        <f>IF('Elenco immobili'!$C$10="","",'Elenco immobili'!$C$10)</f>
        <v/>
      </c>
      <c r="N3" s="488" t="str">
        <f>IF('Elenco immobili'!$C$11="","",'Elenco immobili'!$C$11)</f>
        <v/>
      </c>
      <c r="O3" s="488" t="str">
        <f>IF('Elenco immobili'!$C$12="","",'Elenco immobili'!$C$12)</f>
        <v/>
      </c>
      <c r="P3" s="488" t="str">
        <f>IF('Elenco immobili'!$C$13="","",'Elenco immobili'!$C$13)</f>
        <v/>
      </c>
      <c r="Q3" s="488" t="str">
        <f>IF('Elenco immobili'!$C$14="","",'Elenco immobili'!$C$14)</f>
        <v/>
      </c>
      <c r="R3" s="488" t="str">
        <f>IF('Elenco immobili'!$C$15="","",'Elenco immobili'!$C$15)</f>
        <v/>
      </c>
      <c r="S3" s="488" t="str">
        <f>IF('Elenco immobili'!$C$16="","",'Elenco immobili'!$C$16)</f>
        <v/>
      </c>
      <c r="T3" s="488" t="str">
        <f>IF('Elenco immobili'!$C$17="","",'Elenco immobili'!$C$17)</f>
        <v/>
      </c>
      <c r="U3" s="488" t="str">
        <f>IF('Elenco immobili'!$C$18="","",'Elenco immobili'!$C$18)</f>
        <v/>
      </c>
      <c r="V3" s="488" t="str">
        <f>IF('Elenco immobili'!$C$19="","",'Elenco immobili'!$C$19)</f>
        <v/>
      </c>
      <c r="W3" s="488" t="str">
        <f>IF('Elenco immobili'!$C$20="","",'Elenco immobili'!$C$20)</f>
        <v/>
      </c>
      <c r="X3" s="488" t="str">
        <f>IF('Elenco immobili'!$C$21="","",'Elenco immobili'!$C$21)</f>
        <v/>
      </c>
      <c r="Y3" s="488" t="str">
        <f>IF('Elenco immobili'!$C$22="","",'Elenco immobili'!$C$22)</f>
        <v/>
      </c>
      <c r="Z3" s="488" t="str">
        <f>IF('Elenco immobili'!$C$23="","",'Elenco immobili'!$C$23)</f>
        <v/>
      </c>
    </row>
    <row r="4" spans="1:57" ht="13.5" thickBot="1" x14ac:dyDescent="0.25">
      <c r="B4" s="105" t="s">
        <v>475</v>
      </c>
      <c r="F4" s="125" t="s">
        <v>328</v>
      </c>
      <c r="G4" s="574"/>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24" customHeight="1" thickBot="1" x14ac:dyDescent="0.25">
      <c r="A6" s="101"/>
      <c r="B6" s="121" t="s">
        <v>250</v>
      </c>
      <c r="C6" s="122" t="s">
        <v>251</v>
      </c>
      <c r="D6" s="122" t="s">
        <v>252</v>
      </c>
      <c r="E6" s="122" t="s">
        <v>253</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50.45" customHeight="1" x14ac:dyDescent="0.2">
      <c r="A7" s="575"/>
      <c r="B7" s="203" t="s">
        <v>477</v>
      </c>
      <c r="C7" s="537" t="s">
        <v>489</v>
      </c>
      <c r="D7" s="960" t="s">
        <v>495</v>
      </c>
      <c r="E7" s="962" t="s">
        <v>504</v>
      </c>
      <c r="F7" s="462" t="s">
        <v>505</v>
      </c>
      <c r="G7" s="454"/>
      <c r="H7" s="454"/>
      <c r="I7" s="454"/>
      <c r="J7" s="454"/>
      <c r="K7" s="454"/>
      <c r="L7" s="454"/>
      <c r="M7" s="454"/>
      <c r="N7" s="454"/>
      <c r="O7" s="454"/>
      <c r="P7" s="454"/>
      <c r="Q7" s="454"/>
      <c r="R7" s="454"/>
      <c r="S7" s="454"/>
      <c r="T7" s="454"/>
      <c r="U7" s="454"/>
      <c r="V7" s="454"/>
      <c r="W7" s="454"/>
      <c r="X7" s="454"/>
      <c r="Y7" s="454"/>
      <c r="Z7" s="454"/>
      <c r="AA7" s="130">
        <v>918.34199999999998</v>
      </c>
      <c r="AB7" s="595" t="s">
        <v>37</v>
      </c>
      <c r="AC7" s="131">
        <f>'Ribassi PE'!$K$7</f>
        <v>0.67</v>
      </c>
      <c r="AD7" s="132">
        <f t="shared" ref="AD7:AD18" si="0">ROUND(AA7*(1-AC7),3)</f>
        <v>303.053</v>
      </c>
      <c r="AE7" s="133">
        <f>'Ribassi PE'!$M$7</f>
        <v>0.5</v>
      </c>
      <c r="AF7" s="132">
        <f t="shared" ref="AF7:AF18" si="1">ROUND(AA7*(1-AE7),3)</f>
        <v>459.17099999999999</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50.45" customHeight="1" x14ac:dyDescent="0.2">
      <c r="A8" s="575"/>
      <c r="B8" s="206" t="s">
        <v>478</v>
      </c>
      <c r="C8" s="536" t="s">
        <v>490</v>
      </c>
      <c r="D8" s="958"/>
      <c r="E8" s="963"/>
      <c r="F8" s="463" t="s">
        <v>505</v>
      </c>
      <c r="G8" s="455"/>
      <c r="H8" s="455"/>
      <c r="I8" s="455"/>
      <c r="J8" s="455"/>
      <c r="K8" s="455"/>
      <c r="L8" s="455"/>
      <c r="M8" s="455"/>
      <c r="N8" s="455"/>
      <c r="O8" s="455"/>
      <c r="P8" s="455"/>
      <c r="Q8" s="455"/>
      <c r="R8" s="455"/>
      <c r="S8" s="455"/>
      <c r="T8" s="455"/>
      <c r="U8" s="455"/>
      <c r="V8" s="455"/>
      <c r="W8" s="455"/>
      <c r="X8" s="455"/>
      <c r="Y8" s="455"/>
      <c r="Z8" s="455"/>
      <c r="AA8" s="164">
        <v>1102.01</v>
      </c>
      <c r="AB8" s="596" t="s">
        <v>37</v>
      </c>
      <c r="AC8" s="165">
        <f>'Ribassi PE'!$K$7</f>
        <v>0.67</v>
      </c>
      <c r="AD8" s="166">
        <f t="shared" si="0"/>
        <v>363.66300000000001</v>
      </c>
      <c r="AE8" s="165">
        <f>'Ribassi PE'!$M$7</f>
        <v>0.5</v>
      </c>
      <c r="AF8" s="166">
        <f t="shared" si="1"/>
        <v>551.005</v>
      </c>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50.45" customHeight="1" thickBot="1" x14ac:dyDescent="0.25">
      <c r="A9" s="575"/>
      <c r="B9" s="208" t="s">
        <v>479</v>
      </c>
      <c r="C9" s="209" t="s">
        <v>491</v>
      </c>
      <c r="D9" s="961"/>
      <c r="E9" s="964"/>
      <c r="F9" s="464" t="s">
        <v>505</v>
      </c>
      <c r="G9" s="460"/>
      <c r="H9" s="460"/>
      <c r="I9" s="460"/>
      <c r="J9" s="460"/>
      <c r="K9" s="460"/>
      <c r="L9" s="460"/>
      <c r="M9" s="460"/>
      <c r="N9" s="460"/>
      <c r="O9" s="460"/>
      <c r="P9" s="460"/>
      <c r="Q9" s="460"/>
      <c r="R9" s="460"/>
      <c r="S9" s="460"/>
      <c r="T9" s="460"/>
      <c r="U9" s="460"/>
      <c r="V9" s="460"/>
      <c r="W9" s="460"/>
      <c r="X9" s="460"/>
      <c r="Y9" s="460"/>
      <c r="Z9" s="460"/>
      <c r="AA9" s="247">
        <v>1322.412</v>
      </c>
      <c r="AB9" s="596" t="s">
        <v>37</v>
      </c>
      <c r="AC9" s="135">
        <f>'Ribassi PE'!$K$7</f>
        <v>0.67</v>
      </c>
      <c r="AD9" s="136">
        <f t="shared" si="0"/>
        <v>436.39600000000002</v>
      </c>
      <c r="AE9" s="135">
        <f>'Ribassi PE'!$M$7</f>
        <v>0.5</v>
      </c>
      <c r="AF9" s="136">
        <f t="shared" si="1"/>
        <v>661.20600000000002</v>
      </c>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180" x14ac:dyDescent="0.2">
      <c r="A10" s="575"/>
      <c r="B10" s="203" t="s">
        <v>480</v>
      </c>
      <c r="C10" s="537" t="s">
        <v>492</v>
      </c>
      <c r="D10" s="531" t="s">
        <v>496</v>
      </c>
      <c r="E10" s="255" t="s">
        <v>1123</v>
      </c>
      <c r="F10" s="465" t="s">
        <v>506</v>
      </c>
      <c r="G10" s="454"/>
      <c r="H10" s="454"/>
      <c r="I10" s="454"/>
      <c r="J10" s="454"/>
      <c r="K10" s="454"/>
      <c r="L10" s="454"/>
      <c r="M10" s="454"/>
      <c r="N10" s="454"/>
      <c r="O10" s="454"/>
      <c r="P10" s="454"/>
      <c r="Q10" s="454"/>
      <c r="R10" s="454"/>
      <c r="S10" s="454"/>
      <c r="T10" s="454"/>
      <c r="U10" s="454"/>
      <c r="V10" s="454"/>
      <c r="W10" s="454"/>
      <c r="X10" s="454"/>
      <c r="Y10" s="454"/>
      <c r="Z10" s="454"/>
      <c r="AA10" s="248">
        <v>332.93</v>
      </c>
      <c r="AB10" s="596" t="s">
        <v>37</v>
      </c>
      <c r="AC10" s="249">
        <f>'Ribassi PE'!$K$7</f>
        <v>0.67</v>
      </c>
      <c r="AD10" s="250">
        <f t="shared" ref="AD10:AD13" si="2">ROUND(AA10*(1-AC10),3)</f>
        <v>109.867</v>
      </c>
      <c r="AE10" s="249">
        <f>'Ribassi PE'!$M$7</f>
        <v>0.5</v>
      </c>
      <c r="AF10" s="250">
        <f t="shared" ref="AF10:AF13" si="3">ROUND(AA10*(1-AE10),3)</f>
        <v>166.465</v>
      </c>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202.5" x14ac:dyDescent="0.2">
      <c r="A11" s="575"/>
      <c r="B11" s="206" t="s">
        <v>481</v>
      </c>
      <c r="C11" s="536" t="s">
        <v>493</v>
      </c>
      <c r="D11" s="529" t="s">
        <v>497</v>
      </c>
      <c r="E11" s="245" t="s">
        <v>1124</v>
      </c>
      <c r="F11" s="463" t="s">
        <v>507</v>
      </c>
      <c r="G11" s="455"/>
      <c r="H11" s="455"/>
      <c r="I11" s="455"/>
      <c r="J11" s="455"/>
      <c r="K11" s="455"/>
      <c r="L11" s="455"/>
      <c r="M11" s="455"/>
      <c r="N11" s="455"/>
      <c r="O11" s="455"/>
      <c r="P11" s="455"/>
      <c r="Q11" s="455"/>
      <c r="R11" s="455"/>
      <c r="S11" s="455"/>
      <c r="T11" s="455"/>
      <c r="U11" s="455"/>
      <c r="V11" s="455"/>
      <c r="W11" s="455"/>
      <c r="X11" s="455"/>
      <c r="Y11" s="455"/>
      <c r="Z11" s="455"/>
      <c r="AA11" s="164">
        <v>513.524</v>
      </c>
      <c r="AB11" s="596" t="s">
        <v>37</v>
      </c>
      <c r="AC11" s="165">
        <f>'Ribassi PE'!$K$7</f>
        <v>0.67</v>
      </c>
      <c r="AD11" s="166">
        <f t="shared" si="2"/>
        <v>169.46299999999999</v>
      </c>
      <c r="AE11" s="165">
        <f>'Ribassi PE'!$M$7</f>
        <v>0.5</v>
      </c>
      <c r="AF11" s="166">
        <f t="shared" si="3"/>
        <v>256.762</v>
      </c>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180.75" thickBot="1" x14ac:dyDescent="0.25">
      <c r="A12" s="575"/>
      <c r="B12" s="208" t="s">
        <v>482</v>
      </c>
      <c r="C12" s="209" t="s">
        <v>494</v>
      </c>
      <c r="D12" s="532" t="s">
        <v>498</v>
      </c>
      <c r="E12" s="256" t="s">
        <v>1125</v>
      </c>
      <c r="F12" s="466" t="s">
        <v>508</v>
      </c>
      <c r="G12" s="456"/>
      <c r="H12" s="456"/>
      <c r="I12" s="456"/>
      <c r="J12" s="456"/>
      <c r="K12" s="456"/>
      <c r="L12" s="456"/>
      <c r="M12" s="456"/>
      <c r="N12" s="456"/>
      <c r="O12" s="456"/>
      <c r="P12" s="456"/>
      <c r="Q12" s="456"/>
      <c r="R12" s="456"/>
      <c r="S12" s="456"/>
      <c r="T12" s="456"/>
      <c r="U12" s="456"/>
      <c r="V12" s="456"/>
      <c r="W12" s="456"/>
      <c r="X12" s="456"/>
      <c r="Y12" s="456"/>
      <c r="Z12" s="456"/>
      <c r="AA12" s="251">
        <v>822.226</v>
      </c>
      <c r="AB12" s="596" t="s">
        <v>37</v>
      </c>
      <c r="AC12" s="138">
        <f>'Ribassi PE'!$K$7</f>
        <v>0.67</v>
      </c>
      <c r="AD12" s="252">
        <f t="shared" si="2"/>
        <v>271.33499999999998</v>
      </c>
      <c r="AE12" s="138">
        <f>'Ribassi PE'!$M$7</f>
        <v>0.5</v>
      </c>
      <c r="AF12" s="252">
        <f t="shared" si="3"/>
        <v>411.113</v>
      </c>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78.75" x14ac:dyDescent="0.2">
      <c r="A13" s="575"/>
      <c r="B13" s="203" t="s">
        <v>483</v>
      </c>
      <c r="C13" s="537" t="s">
        <v>489</v>
      </c>
      <c r="D13" s="531" t="s">
        <v>499</v>
      </c>
      <c r="E13" s="255" t="s">
        <v>502</v>
      </c>
      <c r="F13" s="467" t="s">
        <v>1176</v>
      </c>
      <c r="G13" s="461"/>
      <c r="H13" s="461"/>
      <c r="I13" s="461"/>
      <c r="J13" s="461"/>
      <c r="K13" s="461"/>
      <c r="L13" s="461"/>
      <c r="M13" s="461"/>
      <c r="N13" s="461"/>
      <c r="O13" s="461"/>
      <c r="P13" s="461"/>
      <c r="Q13" s="461"/>
      <c r="R13" s="461"/>
      <c r="S13" s="461"/>
      <c r="T13" s="461"/>
      <c r="U13" s="461"/>
      <c r="V13" s="461"/>
      <c r="W13" s="461"/>
      <c r="X13" s="461"/>
      <c r="Y13" s="461"/>
      <c r="Z13" s="461"/>
      <c r="AA13" s="253">
        <v>229.58600000000001</v>
      </c>
      <c r="AB13" s="596" t="s">
        <v>37</v>
      </c>
      <c r="AC13" s="212">
        <f>'Ribassi PE'!$K$7</f>
        <v>0.67</v>
      </c>
      <c r="AD13" s="254">
        <f t="shared" si="2"/>
        <v>75.763000000000005</v>
      </c>
      <c r="AE13" s="212">
        <f>'Ribassi PE'!$M$7</f>
        <v>0.5</v>
      </c>
      <c r="AF13" s="254">
        <f t="shared" si="3"/>
        <v>114.79300000000001</v>
      </c>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78.75" x14ac:dyDescent="0.2">
      <c r="A14" s="575"/>
      <c r="B14" s="206" t="s">
        <v>484</v>
      </c>
      <c r="C14" s="536" t="s">
        <v>490</v>
      </c>
      <c r="D14" s="529" t="s">
        <v>486</v>
      </c>
      <c r="E14" s="245" t="s">
        <v>502</v>
      </c>
      <c r="F14" s="464" t="s">
        <v>1180</v>
      </c>
      <c r="G14" s="455"/>
      <c r="H14" s="455"/>
      <c r="I14" s="455"/>
      <c r="J14" s="455"/>
      <c r="K14" s="455"/>
      <c r="L14" s="455"/>
      <c r="M14" s="455"/>
      <c r="N14" s="455"/>
      <c r="O14" s="455"/>
      <c r="P14" s="455"/>
      <c r="Q14" s="455"/>
      <c r="R14" s="455"/>
      <c r="S14" s="455"/>
      <c r="T14" s="455"/>
      <c r="U14" s="455"/>
      <c r="V14" s="455"/>
      <c r="W14" s="455"/>
      <c r="X14" s="455"/>
      <c r="Y14" s="455"/>
      <c r="Z14" s="455"/>
      <c r="AA14" s="134">
        <v>275.50299999999999</v>
      </c>
      <c r="AB14" s="596" t="s">
        <v>37</v>
      </c>
      <c r="AC14" s="135">
        <f>'Ribassi PE'!$K$7</f>
        <v>0.67</v>
      </c>
      <c r="AD14" s="136">
        <f t="shared" si="0"/>
        <v>90.915999999999997</v>
      </c>
      <c r="AE14" s="135">
        <f>'Ribassi PE'!$M$7</f>
        <v>0.5</v>
      </c>
      <c r="AF14" s="136">
        <f t="shared" si="1"/>
        <v>137.75200000000001</v>
      </c>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ht="78.75" x14ac:dyDescent="0.2">
      <c r="A15" s="575"/>
      <c r="B15" s="206" t="s">
        <v>485</v>
      </c>
      <c r="C15" s="536" t="s">
        <v>491</v>
      </c>
      <c r="D15" s="529" t="s">
        <v>487</v>
      </c>
      <c r="E15" s="245" t="s">
        <v>502</v>
      </c>
      <c r="F15" s="463" t="s">
        <v>1180</v>
      </c>
      <c r="G15" s="455"/>
      <c r="H15" s="455"/>
      <c r="I15" s="455"/>
      <c r="J15" s="455"/>
      <c r="K15" s="455"/>
      <c r="L15" s="455"/>
      <c r="M15" s="455"/>
      <c r="N15" s="455"/>
      <c r="O15" s="455"/>
      <c r="P15" s="455"/>
      <c r="Q15" s="455"/>
      <c r="R15" s="455"/>
      <c r="S15" s="455"/>
      <c r="T15" s="455"/>
      <c r="U15" s="455"/>
      <c r="V15" s="455"/>
      <c r="W15" s="455"/>
      <c r="X15" s="455"/>
      <c r="Y15" s="455"/>
      <c r="Z15" s="455"/>
      <c r="AA15" s="164">
        <v>330.60300000000001</v>
      </c>
      <c r="AB15" s="596" t="s">
        <v>37</v>
      </c>
      <c r="AC15" s="165">
        <f>'Ribassi PE'!$K$7</f>
        <v>0.67</v>
      </c>
      <c r="AD15" s="166">
        <f t="shared" si="0"/>
        <v>109.099</v>
      </c>
      <c r="AE15" s="165">
        <f>'Ribassi PE'!$M$7</f>
        <v>0.5</v>
      </c>
      <c r="AF15" s="166">
        <f t="shared" si="1"/>
        <v>165.30199999999999</v>
      </c>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ht="78.75" x14ac:dyDescent="0.2">
      <c r="A16" s="575"/>
      <c r="B16" s="206" t="s">
        <v>486</v>
      </c>
      <c r="C16" s="536" t="s">
        <v>492</v>
      </c>
      <c r="D16" s="529" t="s">
        <v>488</v>
      </c>
      <c r="E16" s="245" t="s">
        <v>502</v>
      </c>
      <c r="F16" s="463" t="s">
        <v>1179</v>
      </c>
      <c r="G16" s="455"/>
      <c r="H16" s="455"/>
      <c r="I16" s="455"/>
      <c r="J16" s="455"/>
      <c r="K16" s="455"/>
      <c r="L16" s="455"/>
      <c r="M16" s="455"/>
      <c r="N16" s="455"/>
      <c r="O16" s="455"/>
      <c r="P16" s="455"/>
      <c r="Q16" s="455"/>
      <c r="R16" s="455"/>
      <c r="S16" s="455"/>
      <c r="T16" s="455"/>
      <c r="U16" s="455"/>
      <c r="V16" s="455"/>
      <c r="W16" s="455"/>
      <c r="X16" s="455"/>
      <c r="Y16" s="455"/>
      <c r="Z16" s="455"/>
      <c r="AA16" s="164">
        <v>82.983000000000004</v>
      </c>
      <c r="AB16" s="596" t="s">
        <v>37</v>
      </c>
      <c r="AC16" s="165">
        <f>'Ribassi PE'!$K$7</f>
        <v>0.67</v>
      </c>
      <c r="AD16" s="166">
        <f t="shared" si="0"/>
        <v>27.384</v>
      </c>
      <c r="AE16" s="165">
        <f>'Ribassi PE'!$M$7</f>
        <v>0.5</v>
      </c>
      <c r="AF16" s="166">
        <f t="shared" si="1"/>
        <v>41.491999999999997</v>
      </c>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ht="78.75" x14ac:dyDescent="0.2">
      <c r="A17" s="575"/>
      <c r="B17" s="206" t="s">
        <v>487</v>
      </c>
      <c r="C17" s="536" t="s">
        <v>493</v>
      </c>
      <c r="D17" s="529" t="s">
        <v>500</v>
      </c>
      <c r="E17" s="245" t="s">
        <v>502</v>
      </c>
      <c r="F17" s="463" t="s">
        <v>1178</v>
      </c>
      <c r="G17" s="455"/>
      <c r="H17" s="455"/>
      <c r="I17" s="455"/>
      <c r="J17" s="455"/>
      <c r="K17" s="455"/>
      <c r="L17" s="455"/>
      <c r="M17" s="455"/>
      <c r="N17" s="455"/>
      <c r="O17" s="455"/>
      <c r="P17" s="455"/>
      <c r="Q17" s="455"/>
      <c r="R17" s="455"/>
      <c r="S17" s="455"/>
      <c r="T17" s="455"/>
      <c r="U17" s="455"/>
      <c r="V17" s="455"/>
      <c r="W17" s="455"/>
      <c r="X17" s="455"/>
      <c r="Y17" s="455"/>
      <c r="Z17" s="455"/>
      <c r="AA17" s="164">
        <v>128.131</v>
      </c>
      <c r="AB17" s="596" t="s">
        <v>37</v>
      </c>
      <c r="AC17" s="165">
        <f>'Ribassi PE'!$K$7</f>
        <v>0.67</v>
      </c>
      <c r="AD17" s="166">
        <f t="shared" si="0"/>
        <v>42.283000000000001</v>
      </c>
      <c r="AE17" s="165">
        <f>'Ribassi PE'!$M$7</f>
        <v>0.5</v>
      </c>
      <c r="AF17" s="166">
        <f t="shared" si="1"/>
        <v>64.066000000000003</v>
      </c>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ht="57" thickBot="1" x14ac:dyDescent="0.25">
      <c r="A18" s="578"/>
      <c r="B18" s="208" t="s">
        <v>488</v>
      </c>
      <c r="C18" s="209" t="s">
        <v>494</v>
      </c>
      <c r="D18" s="532" t="s">
        <v>501</v>
      </c>
      <c r="E18" s="535" t="s">
        <v>503</v>
      </c>
      <c r="F18" s="466" t="s">
        <v>1177</v>
      </c>
      <c r="G18" s="456"/>
      <c r="H18" s="456"/>
      <c r="I18" s="456"/>
      <c r="J18" s="456"/>
      <c r="K18" s="456"/>
      <c r="L18" s="456"/>
      <c r="M18" s="456"/>
      <c r="N18" s="456"/>
      <c r="O18" s="456"/>
      <c r="P18" s="456"/>
      <c r="Q18" s="456"/>
      <c r="R18" s="456"/>
      <c r="S18" s="456"/>
      <c r="T18" s="456"/>
      <c r="U18" s="456"/>
      <c r="V18" s="456"/>
      <c r="W18" s="456"/>
      <c r="X18" s="456"/>
      <c r="Y18" s="456"/>
      <c r="Z18" s="456"/>
      <c r="AA18" s="137">
        <v>104.77800000000001</v>
      </c>
      <c r="AB18" s="597" t="s">
        <v>37</v>
      </c>
      <c r="AC18" s="138">
        <f>'Ribassi PE'!$K$7</f>
        <v>0.67</v>
      </c>
      <c r="AD18" s="139">
        <f t="shared" si="0"/>
        <v>34.576999999999998</v>
      </c>
      <c r="AE18" s="138">
        <f>'Ribassi PE'!$M$7</f>
        <v>0.5</v>
      </c>
      <c r="AF18" s="139">
        <f t="shared" si="1"/>
        <v>52.389000000000003</v>
      </c>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s="99" customFormat="1" ht="12.75" thickBot="1" x14ac:dyDescent="0.25">
      <c r="A19" s="98"/>
      <c r="B19" s="98"/>
      <c r="C19" s="98"/>
      <c r="D19" s="98"/>
      <c r="E19" s="98"/>
      <c r="F19" s="125" t="s">
        <v>329</v>
      </c>
      <c r="G19" s="126">
        <f t="shared" ref="G19:Z19" si="4">SUMPRODUCT(G7:G18,$AA$7:$AA$18)*G$4/12</f>
        <v>0</v>
      </c>
      <c r="H19" s="126">
        <f t="shared" si="4"/>
        <v>0</v>
      </c>
      <c r="I19" s="126">
        <f t="shared" si="4"/>
        <v>0</v>
      </c>
      <c r="J19" s="126">
        <f t="shared" si="4"/>
        <v>0</v>
      </c>
      <c r="K19" s="126">
        <f t="shared" si="4"/>
        <v>0</v>
      </c>
      <c r="L19" s="126">
        <f t="shared" si="4"/>
        <v>0</v>
      </c>
      <c r="M19" s="126">
        <f t="shared" si="4"/>
        <v>0</v>
      </c>
      <c r="N19" s="126">
        <f t="shared" si="4"/>
        <v>0</v>
      </c>
      <c r="O19" s="126">
        <f t="shared" si="4"/>
        <v>0</v>
      </c>
      <c r="P19" s="126">
        <f t="shared" si="4"/>
        <v>0</v>
      </c>
      <c r="Q19" s="126">
        <f t="shared" si="4"/>
        <v>0</v>
      </c>
      <c r="R19" s="126">
        <f t="shared" si="4"/>
        <v>0</v>
      </c>
      <c r="S19" s="126">
        <f t="shared" si="4"/>
        <v>0</v>
      </c>
      <c r="T19" s="126">
        <f t="shared" si="4"/>
        <v>0</v>
      </c>
      <c r="U19" s="126">
        <f t="shared" si="4"/>
        <v>0</v>
      </c>
      <c r="V19" s="126">
        <f t="shared" si="4"/>
        <v>0</v>
      </c>
      <c r="W19" s="126">
        <f t="shared" si="4"/>
        <v>0</v>
      </c>
      <c r="X19" s="126">
        <f t="shared" si="4"/>
        <v>0</v>
      </c>
      <c r="Y19" s="126">
        <f t="shared" si="4"/>
        <v>0</v>
      </c>
      <c r="Z19" s="126">
        <f t="shared" si="4"/>
        <v>0</v>
      </c>
      <c r="AA19" s="97"/>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6"/>
    </row>
    <row r="20" spans="1:57" s="99" customFormat="1" ht="12.75" thickBot="1" x14ac:dyDescent="0.25">
      <c r="A20" s="98"/>
      <c r="B20" s="98"/>
      <c r="C20" s="98"/>
      <c r="D20" s="98"/>
      <c r="E20" s="98"/>
      <c r="F20" s="581" t="s">
        <v>330</v>
      </c>
      <c r="G20" s="201">
        <f t="shared" ref="G20:Z20" si="5">SUMPRODUCT(G7:G18,$AD$7:$AD$18)*G$4/12</f>
        <v>0</v>
      </c>
      <c r="H20" s="201">
        <f t="shared" si="5"/>
        <v>0</v>
      </c>
      <c r="I20" s="201">
        <f t="shared" si="5"/>
        <v>0</v>
      </c>
      <c r="J20" s="201">
        <f t="shared" si="5"/>
        <v>0</v>
      </c>
      <c r="K20" s="201">
        <f t="shared" si="5"/>
        <v>0</v>
      </c>
      <c r="L20" s="201">
        <f t="shared" si="5"/>
        <v>0</v>
      </c>
      <c r="M20" s="201">
        <f t="shared" si="5"/>
        <v>0</v>
      </c>
      <c r="N20" s="201">
        <f t="shared" si="5"/>
        <v>0</v>
      </c>
      <c r="O20" s="201">
        <f t="shared" si="5"/>
        <v>0</v>
      </c>
      <c r="P20" s="201">
        <f t="shared" si="5"/>
        <v>0</v>
      </c>
      <c r="Q20" s="201">
        <f t="shared" si="5"/>
        <v>0</v>
      </c>
      <c r="R20" s="201">
        <f t="shared" si="5"/>
        <v>0</v>
      </c>
      <c r="S20" s="201">
        <f t="shared" si="5"/>
        <v>0</v>
      </c>
      <c r="T20" s="201">
        <f t="shared" si="5"/>
        <v>0</v>
      </c>
      <c r="U20" s="201">
        <f t="shared" si="5"/>
        <v>0</v>
      </c>
      <c r="V20" s="201">
        <f t="shared" si="5"/>
        <v>0</v>
      </c>
      <c r="W20" s="201">
        <f t="shared" si="5"/>
        <v>0</v>
      </c>
      <c r="X20" s="201">
        <f t="shared" si="5"/>
        <v>0</v>
      </c>
      <c r="Y20" s="201">
        <f t="shared" si="5"/>
        <v>0</v>
      </c>
      <c r="Z20" s="202">
        <f t="shared" si="5"/>
        <v>0</v>
      </c>
      <c r="AA20" s="97"/>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6"/>
    </row>
    <row r="21" spans="1:57" s="99" customFormat="1" ht="12.75" thickBot="1" x14ac:dyDescent="0.25">
      <c r="A21" s="98"/>
      <c r="B21" s="98"/>
      <c r="C21" s="98"/>
      <c r="D21" s="98"/>
      <c r="E21" s="98"/>
      <c r="F21" s="581" t="s">
        <v>331</v>
      </c>
      <c r="G21" s="201">
        <f t="shared" ref="G21:Z21" si="6">SUMPRODUCT(G7:G18,$AF$7:$AF$18)*G$4/12</f>
        <v>0</v>
      </c>
      <c r="H21" s="201">
        <f t="shared" si="6"/>
        <v>0</v>
      </c>
      <c r="I21" s="201">
        <f t="shared" si="6"/>
        <v>0</v>
      </c>
      <c r="J21" s="201">
        <f t="shared" si="6"/>
        <v>0</v>
      </c>
      <c r="K21" s="201">
        <f t="shared" si="6"/>
        <v>0</v>
      </c>
      <c r="L21" s="201">
        <f t="shared" si="6"/>
        <v>0</v>
      </c>
      <c r="M21" s="201">
        <f t="shared" si="6"/>
        <v>0</v>
      </c>
      <c r="N21" s="201">
        <f t="shared" si="6"/>
        <v>0</v>
      </c>
      <c r="O21" s="201">
        <f t="shared" si="6"/>
        <v>0</v>
      </c>
      <c r="P21" s="201">
        <f t="shared" si="6"/>
        <v>0</v>
      </c>
      <c r="Q21" s="201">
        <f t="shared" si="6"/>
        <v>0</v>
      </c>
      <c r="R21" s="201">
        <f t="shared" si="6"/>
        <v>0</v>
      </c>
      <c r="S21" s="201">
        <f t="shared" si="6"/>
        <v>0</v>
      </c>
      <c r="T21" s="201">
        <f t="shared" si="6"/>
        <v>0</v>
      </c>
      <c r="U21" s="201">
        <f t="shared" si="6"/>
        <v>0</v>
      </c>
      <c r="V21" s="201">
        <f t="shared" si="6"/>
        <v>0</v>
      </c>
      <c r="W21" s="201">
        <f t="shared" si="6"/>
        <v>0</v>
      </c>
      <c r="X21" s="201">
        <f t="shared" si="6"/>
        <v>0</v>
      </c>
      <c r="Y21" s="201">
        <f t="shared" si="6"/>
        <v>0</v>
      </c>
      <c r="Z21" s="202">
        <f t="shared" si="6"/>
        <v>0</v>
      </c>
      <c r="AA21" s="97"/>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6"/>
    </row>
    <row r="22" spans="1:57" x14ac:dyDescent="0.2">
      <c r="A22" s="576"/>
      <c r="B22" s="98"/>
      <c r="C22" s="98"/>
      <c r="D22" s="98"/>
      <c r="E22" s="98"/>
      <c r="F22" s="98"/>
      <c r="G22" s="576"/>
      <c r="H22" s="576"/>
      <c r="I22" s="576"/>
      <c r="J22" s="576"/>
      <c r="K22" s="576"/>
      <c r="L22" s="576"/>
      <c r="M22" s="576"/>
      <c r="N22" s="576"/>
      <c r="O22" s="576"/>
      <c r="P22" s="576"/>
      <c r="Q22" s="576"/>
      <c r="R22" s="576"/>
      <c r="S22" s="576"/>
      <c r="T22" s="576"/>
      <c r="U22" s="576"/>
      <c r="V22" s="576"/>
      <c r="W22" s="576"/>
      <c r="X22" s="576"/>
      <c r="Y22" s="576"/>
      <c r="Z22" s="576"/>
      <c r="AA22" s="98"/>
      <c r="AB22" s="98"/>
      <c r="AC22" s="98"/>
      <c r="AD22" s="98"/>
      <c r="AE22" s="98"/>
      <c r="AF22" s="98"/>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x14ac:dyDescent="0.2">
      <c r="A23" s="576"/>
      <c r="B23" s="98"/>
      <c r="C23" s="98"/>
      <c r="D23" s="98"/>
      <c r="E23" s="98"/>
      <c r="F23" s="98"/>
      <c r="G23" s="576"/>
      <c r="H23" s="576"/>
      <c r="I23" s="576"/>
      <c r="J23" s="576"/>
      <c r="K23" s="576"/>
      <c r="L23" s="576"/>
      <c r="M23" s="576"/>
      <c r="N23" s="576"/>
      <c r="O23" s="576"/>
      <c r="P23" s="576"/>
      <c r="Q23" s="576"/>
      <c r="R23" s="576"/>
      <c r="S23" s="576"/>
      <c r="T23" s="576"/>
      <c r="U23" s="576"/>
      <c r="V23" s="576"/>
      <c r="W23" s="576"/>
      <c r="X23" s="576"/>
      <c r="Y23" s="576"/>
      <c r="Z23" s="576"/>
      <c r="AA23" s="98"/>
      <c r="AB23" s="98"/>
      <c r="AC23" s="98"/>
      <c r="AD23" s="98"/>
      <c r="AE23" s="98"/>
      <c r="AF23" s="98"/>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x14ac:dyDescent="0.2">
      <c r="A24" s="576"/>
      <c r="B24" s="98"/>
      <c r="C24" s="98"/>
      <c r="D24" s="98"/>
      <c r="E24" s="98"/>
      <c r="F24" s="98"/>
      <c r="G24" s="576"/>
      <c r="H24" s="576"/>
      <c r="I24" s="576"/>
      <c r="J24" s="576"/>
      <c r="K24" s="576"/>
      <c r="L24" s="576"/>
      <c r="M24" s="576"/>
      <c r="N24" s="576"/>
      <c r="O24" s="576"/>
      <c r="P24" s="576"/>
      <c r="Q24" s="576"/>
      <c r="R24" s="576"/>
      <c r="S24" s="576"/>
      <c r="T24" s="576"/>
      <c r="U24" s="576"/>
      <c r="V24" s="576"/>
      <c r="W24" s="576"/>
      <c r="X24" s="576"/>
      <c r="Y24" s="576"/>
      <c r="Z24" s="576"/>
      <c r="AA24" s="98"/>
      <c r="AB24" s="98"/>
      <c r="AC24" s="98"/>
      <c r="AD24" s="98"/>
      <c r="AE24" s="98"/>
      <c r="AF24" s="98"/>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x14ac:dyDescent="0.2">
      <c r="A25" s="576"/>
      <c r="B25" s="98"/>
      <c r="C25" s="98"/>
      <c r="D25" s="98"/>
      <c r="E25" s="98"/>
      <c r="F25" s="98"/>
      <c r="G25" s="576"/>
      <c r="H25" s="576"/>
      <c r="I25" s="576"/>
      <c r="J25" s="576"/>
      <c r="K25" s="576"/>
      <c r="L25" s="576"/>
      <c r="M25" s="576"/>
      <c r="N25" s="576"/>
      <c r="O25" s="576"/>
      <c r="P25" s="576"/>
      <c r="Q25" s="576"/>
      <c r="R25" s="576"/>
      <c r="S25" s="576"/>
      <c r="T25" s="576"/>
      <c r="U25" s="576"/>
      <c r="V25" s="576"/>
      <c r="W25" s="576"/>
      <c r="X25" s="576"/>
      <c r="Y25" s="576"/>
      <c r="Z25" s="576"/>
      <c r="AA25" s="98"/>
      <c r="AB25" s="98"/>
      <c r="AC25" s="98"/>
      <c r="AD25" s="98"/>
      <c r="AE25" s="98"/>
      <c r="AF25" s="98"/>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x14ac:dyDescent="0.2">
      <c r="A26" s="576"/>
      <c r="B26" s="98"/>
      <c r="C26" s="98"/>
      <c r="D26" s="98"/>
      <c r="E26" s="98"/>
      <c r="F26" s="98"/>
      <c r="G26" s="576"/>
      <c r="H26" s="576"/>
      <c r="I26" s="576"/>
      <c r="J26" s="576"/>
      <c r="K26" s="576"/>
      <c r="L26" s="576"/>
      <c r="M26" s="576"/>
      <c r="N26" s="576"/>
      <c r="O26" s="576"/>
      <c r="P26" s="576"/>
      <c r="Q26" s="576"/>
      <c r="R26" s="576"/>
      <c r="S26" s="576"/>
      <c r="T26" s="576"/>
      <c r="U26" s="576"/>
      <c r="V26" s="576"/>
      <c r="W26" s="576"/>
      <c r="X26" s="576"/>
      <c r="Y26" s="576"/>
      <c r="Z26" s="576"/>
      <c r="AA26" s="98"/>
      <c r="AB26" s="98"/>
      <c r="AC26" s="98"/>
      <c r="AD26" s="98"/>
      <c r="AE26" s="98"/>
      <c r="AF26" s="98"/>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x14ac:dyDescent="0.2">
      <c r="A27" s="576"/>
      <c r="B27" s="98"/>
      <c r="C27" s="98"/>
      <c r="D27" s="98"/>
      <c r="E27" s="98"/>
      <c r="F27" s="98"/>
      <c r="G27" s="576"/>
      <c r="H27" s="576"/>
      <c r="I27" s="576"/>
      <c r="J27" s="576"/>
      <c r="K27" s="576"/>
      <c r="L27" s="576"/>
      <c r="M27" s="576"/>
      <c r="N27" s="576"/>
      <c r="O27" s="576"/>
      <c r="P27" s="576"/>
      <c r="Q27" s="576"/>
      <c r="R27" s="576"/>
      <c r="S27" s="576"/>
      <c r="T27" s="576"/>
      <c r="U27" s="576"/>
      <c r="V27" s="576"/>
      <c r="W27" s="576"/>
      <c r="X27" s="576"/>
      <c r="Y27" s="576"/>
      <c r="Z27" s="576"/>
      <c r="AA27" s="98"/>
      <c r="AB27" s="98"/>
      <c r="AC27" s="98"/>
      <c r="AD27" s="98"/>
      <c r="AE27" s="98"/>
      <c r="AF27" s="98"/>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x14ac:dyDescent="0.2">
      <c r="A28" s="576"/>
      <c r="B28" s="98"/>
      <c r="C28" s="98"/>
      <c r="D28" s="98"/>
      <c r="E28" s="98"/>
      <c r="F28" s="98"/>
      <c r="G28" s="576"/>
      <c r="H28" s="576"/>
      <c r="I28" s="576"/>
      <c r="J28" s="576"/>
      <c r="K28" s="576"/>
      <c r="L28" s="576"/>
      <c r="M28" s="576"/>
      <c r="N28" s="576"/>
      <c r="O28" s="576"/>
      <c r="P28" s="576"/>
      <c r="Q28" s="576"/>
      <c r="R28" s="576"/>
      <c r="S28" s="576"/>
      <c r="T28" s="576"/>
      <c r="U28" s="576"/>
      <c r="V28" s="576"/>
      <c r="W28" s="576"/>
      <c r="X28" s="576"/>
      <c r="Y28" s="576"/>
      <c r="Z28" s="576"/>
      <c r="AA28" s="98"/>
      <c r="AB28" s="98"/>
      <c r="AC28" s="98"/>
      <c r="AD28" s="98"/>
      <c r="AE28" s="98"/>
      <c r="AF28" s="98"/>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x14ac:dyDescent="0.2">
      <c r="A29" s="576"/>
      <c r="B29" s="98"/>
      <c r="C29" s="98"/>
      <c r="D29" s="98"/>
      <c r="E29" s="98"/>
      <c r="F29" s="98"/>
      <c r="G29" s="576"/>
      <c r="H29" s="576"/>
      <c r="I29" s="576"/>
      <c r="J29" s="576"/>
      <c r="K29" s="576"/>
      <c r="L29" s="576"/>
      <c r="M29" s="576"/>
      <c r="N29" s="576"/>
      <c r="O29" s="576"/>
      <c r="P29" s="576"/>
      <c r="Q29" s="576"/>
      <c r="R29" s="576"/>
      <c r="S29" s="576"/>
      <c r="T29" s="576"/>
      <c r="U29" s="576"/>
      <c r="V29" s="576"/>
      <c r="W29" s="576"/>
      <c r="X29" s="576"/>
      <c r="Y29" s="576"/>
      <c r="Z29" s="576"/>
      <c r="AA29" s="98"/>
      <c r="AB29" s="98"/>
      <c r="AC29" s="98"/>
      <c r="AD29" s="98"/>
      <c r="AE29" s="98"/>
      <c r="AF29" s="98"/>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x14ac:dyDescent="0.2">
      <c r="A30" s="576"/>
      <c r="B30" s="98"/>
      <c r="C30" s="98"/>
      <c r="D30" s="98"/>
      <c r="E30" s="98"/>
      <c r="F30" s="98"/>
      <c r="G30" s="576"/>
      <c r="H30" s="576"/>
      <c r="I30" s="576"/>
      <c r="J30" s="576"/>
      <c r="K30" s="576"/>
      <c r="L30" s="576"/>
      <c r="M30" s="576"/>
      <c r="N30" s="576"/>
      <c r="O30" s="576"/>
      <c r="P30" s="576"/>
      <c r="Q30" s="576"/>
      <c r="R30" s="576"/>
      <c r="S30" s="576"/>
      <c r="T30" s="576"/>
      <c r="U30" s="576"/>
      <c r="V30" s="576"/>
      <c r="W30" s="576"/>
      <c r="X30" s="576"/>
      <c r="Y30" s="576"/>
      <c r="Z30" s="576"/>
      <c r="AA30" s="98"/>
      <c r="AB30" s="98"/>
      <c r="AC30" s="98"/>
      <c r="AD30" s="98"/>
      <c r="AE30" s="98"/>
      <c r="AF30" s="98"/>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x14ac:dyDescent="0.2">
      <c r="A31" s="576"/>
      <c r="B31" s="98"/>
      <c r="C31" s="98"/>
      <c r="D31" s="98"/>
      <c r="E31" s="98"/>
      <c r="F31" s="98"/>
      <c r="G31" s="576"/>
      <c r="H31" s="576"/>
      <c r="I31" s="576"/>
      <c r="J31" s="576"/>
      <c r="K31" s="576"/>
      <c r="L31" s="576"/>
      <c r="M31" s="576"/>
      <c r="N31" s="576"/>
      <c r="O31" s="576"/>
      <c r="P31" s="576"/>
      <c r="Q31" s="576"/>
      <c r="R31" s="576"/>
      <c r="S31" s="576"/>
      <c r="T31" s="576"/>
      <c r="U31" s="576"/>
      <c r="V31" s="576"/>
      <c r="W31" s="576"/>
      <c r="X31" s="576"/>
      <c r="Y31" s="576"/>
      <c r="Z31" s="576"/>
      <c r="AA31" s="98"/>
      <c r="AB31" s="98"/>
      <c r="AC31" s="98"/>
      <c r="AD31" s="98"/>
      <c r="AE31" s="98"/>
      <c r="AF31" s="98"/>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x14ac:dyDescent="0.2">
      <c r="A32" s="576"/>
      <c r="B32" s="98"/>
      <c r="C32" s="98"/>
      <c r="D32" s="98"/>
      <c r="E32" s="98"/>
      <c r="F32" s="98"/>
      <c r="G32" s="576"/>
      <c r="H32" s="576"/>
      <c r="I32" s="576"/>
      <c r="J32" s="576"/>
      <c r="K32" s="576"/>
      <c r="L32" s="576"/>
      <c r="M32" s="576"/>
      <c r="N32" s="576"/>
      <c r="O32" s="576"/>
      <c r="P32" s="576"/>
      <c r="Q32" s="576"/>
      <c r="R32" s="576"/>
      <c r="S32" s="576"/>
      <c r="T32" s="576"/>
      <c r="U32" s="576"/>
      <c r="V32" s="576"/>
      <c r="W32" s="576"/>
      <c r="X32" s="576"/>
      <c r="Y32" s="576"/>
      <c r="Z32" s="576"/>
      <c r="AA32" s="98"/>
      <c r="AB32" s="98"/>
      <c r="AC32" s="98"/>
      <c r="AD32" s="98"/>
      <c r="AE32" s="98"/>
      <c r="AF32" s="98"/>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x14ac:dyDescent="0.2">
      <c r="A33" s="576"/>
      <c r="B33" s="98"/>
      <c r="C33" s="98"/>
      <c r="D33" s="98"/>
      <c r="E33" s="98"/>
      <c r="F33" s="98"/>
      <c r="G33" s="576"/>
      <c r="H33" s="576"/>
      <c r="I33" s="576"/>
      <c r="J33" s="576"/>
      <c r="K33" s="576"/>
      <c r="L33" s="576"/>
      <c r="M33" s="576"/>
      <c r="N33" s="576"/>
      <c r="O33" s="576"/>
      <c r="P33" s="576"/>
      <c r="Q33" s="576"/>
      <c r="R33" s="576"/>
      <c r="S33" s="576"/>
      <c r="T33" s="576"/>
      <c r="U33" s="576"/>
      <c r="V33" s="576"/>
      <c r="W33" s="576"/>
      <c r="X33" s="576"/>
      <c r="Y33" s="576"/>
      <c r="Z33" s="576"/>
      <c r="AA33" s="98"/>
      <c r="AB33" s="98"/>
      <c r="AC33" s="98"/>
      <c r="AD33" s="98"/>
      <c r="AE33" s="98"/>
      <c r="AF33" s="98"/>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x14ac:dyDescent="0.2">
      <c r="A34" s="576"/>
      <c r="B34" s="98"/>
      <c r="C34" s="98"/>
      <c r="D34" s="98"/>
      <c r="E34" s="98"/>
      <c r="F34" s="98"/>
      <c r="G34" s="576"/>
      <c r="H34" s="576"/>
      <c r="I34" s="576"/>
      <c r="J34" s="576"/>
      <c r="K34" s="576"/>
      <c r="L34" s="576"/>
      <c r="M34" s="576"/>
      <c r="N34" s="576"/>
      <c r="O34" s="576"/>
      <c r="P34" s="576"/>
      <c r="Q34" s="576"/>
      <c r="R34" s="576"/>
      <c r="S34" s="576"/>
      <c r="T34" s="576"/>
      <c r="U34" s="576"/>
      <c r="V34" s="576"/>
      <c r="W34" s="576"/>
      <c r="X34" s="576"/>
      <c r="Y34" s="576"/>
      <c r="Z34" s="576"/>
      <c r="AA34" s="98"/>
      <c r="AB34" s="98"/>
      <c r="AC34" s="98"/>
      <c r="AD34" s="98"/>
      <c r="AE34" s="98"/>
      <c r="AF34" s="98"/>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x14ac:dyDescent="0.2">
      <c r="A35" s="576"/>
      <c r="B35" s="98"/>
      <c r="C35" s="98"/>
      <c r="D35" s="98"/>
      <c r="E35" s="98"/>
      <c r="F35" s="98"/>
      <c r="G35" s="576"/>
      <c r="H35" s="576"/>
      <c r="I35" s="576"/>
      <c r="J35" s="576"/>
      <c r="K35" s="576"/>
      <c r="L35" s="576"/>
      <c r="M35" s="576"/>
      <c r="N35" s="576"/>
      <c r="O35" s="576"/>
      <c r="P35" s="576"/>
      <c r="Q35" s="576"/>
      <c r="R35" s="576"/>
      <c r="S35" s="576"/>
      <c r="T35" s="576"/>
      <c r="U35" s="576"/>
      <c r="V35" s="576"/>
      <c r="W35" s="576"/>
      <c r="X35" s="576"/>
      <c r="Y35" s="576"/>
      <c r="Z35" s="576"/>
      <c r="AA35" s="98"/>
      <c r="AB35" s="98"/>
      <c r="AC35" s="98"/>
      <c r="AD35" s="98"/>
      <c r="AE35" s="98"/>
      <c r="AF35" s="98"/>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x14ac:dyDescent="0.2">
      <c r="A36" s="576"/>
      <c r="B36" s="98"/>
      <c r="C36" s="98"/>
      <c r="D36" s="98"/>
      <c r="E36" s="98"/>
      <c r="F36" s="98"/>
      <c r="G36" s="576"/>
      <c r="H36" s="576"/>
      <c r="I36" s="576"/>
      <c r="J36" s="576"/>
      <c r="K36" s="576"/>
      <c r="L36" s="576"/>
      <c r="M36" s="576"/>
      <c r="N36" s="576"/>
      <c r="O36" s="576"/>
      <c r="P36" s="576"/>
      <c r="Q36" s="576"/>
      <c r="R36" s="576"/>
      <c r="S36" s="576"/>
      <c r="T36" s="576"/>
      <c r="U36" s="576"/>
      <c r="V36" s="576"/>
      <c r="W36" s="576"/>
      <c r="X36" s="576"/>
      <c r="Y36" s="576"/>
      <c r="Z36" s="576"/>
      <c r="AA36" s="98"/>
      <c r="AB36" s="98"/>
      <c r="AC36" s="98"/>
      <c r="AD36" s="98"/>
      <c r="AE36" s="98"/>
      <c r="AF36" s="98"/>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6"/>
      <c r="B82" s="98"/>
      <c r="C82" s="98"/>
      <c r="D82" s="98"/>
      <c r="E82" s="98"/>
      <c r="F82" s="98"/>
      <c r="G82" s="576"/>
      <c r="H82" s="576"/>
      <c r="I82" s="576"/>
      <c r="J82" s="576"/>
      <c r="K82" s="576"/>
      <c r="L82" s="576"/>
      <c r="M82" s="576"/>
      <c r="N82" s="576"/>
      <c r="O82" s="576"/>
      <c r="P82" s="576"/>
      <c r="Q82" s="576"/>
      <c r="R82" s="576"/>
      <c r="S82" s="576"/>
      <c r="T82" s="576"/>
      <c r="U82" s="576"/>
      <c r="V82" s="576"/>
      <c r="W82" s="576"/>
      <c r="X82" s="576"/>
      <c r="Y82" s="576"/>
      <c r="Z82" s="576"/>
      <c r="AA82" s="98"/>
      <c r="AB82" s="98"/>
      <c r="AC82" s="98"/>
      <c r="AD82" s="98"/>
      <c r="AE82" s="98"/>
      <c r="AF82" s="98"/>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7"/>
    </row>
    <row r="83" spans="1:57" x14ac:dyDescent="0.2">
      <c r="A83" s="576"/>
      <c r="B83" s="98"/>
      <c r="C83" s="98"/>
      <c r="D83" s="98"/>
      <c r="E83" s="98"/>
      <c r="F83" s="98"/>
      <c r="G83" s="576"/>
      <c r="H83" s="576"/>
      <c r="I83" s="576"/>
      <c r="J83" s="576"/>
      <c r="K83" s="576"/>
      <c r="L83" s="576"/>
      <c r="M83" s="576"/>
      <c r="N83" s="576"/>
      <c r="O83" s="576"/>
      <c r="P83" s="576"/>
      <c r="Q83" s="576"/>
      <c r="R83" s="576"/>
      <c r="S83" s="576"/>
      <c r="T83" s="576"/>
      <c r="U83" s="576"/>
      <c r="V83" s="576"/>
      <c r="W83" s="576"/>
      <c r="X83" s="576"/>
      <c r="Y83" s="576"/>
      <c r="Z83" s="576"/>
      <c r="AA83" s="98"/>
      <c r="AB83" s="98"/>
      <c r="AC83" s="98"/>
      <c r="AD83" s="98"/>
      <c r="AE83" s="98"/>
      <c r="AF83" s="98"/>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7"/>
    </row>
    <row r="84" spans="1:57" x14ac:dyDescent="0.2">
      <c r="A84" s="576"/>
      <c r="B84" s="98"/>
      <c r="C84" s="98"/>
      <c r="D84" s="98"/>
      <c r="E84" s="98"/>
      <c r="F84" s="98"/>
      <c r="G84" s="576"/>
      <c r="H84" s="576"/>
      <c r="I84" s="576"/>
      <c r="J84" s="576"/>
      <c r="K84" s="576"/>
      <c r="L84" s="576"/>
      <c r="M84" s="576"/>
      <c r="N84" s="576"/>
      <c r="O84" s="576"/>
      <c r="P84" s="576"/>
      <c r="Q84" s="576"/>
      <c r="R84" s="576"/>
      <c r="S84" s="576"/>
      <c r="T84" s="576"/>
      <c r="U84" s="576"/>
      <c r="V84" s="576"/>
      <c r="W84" s="576"/>
      <c r="X84" s="576"/>
      <c r="Y84" s="576"/>
      <c r="Z84" s="576"/>
      <c r="AA84" s="98"/>
      <c r="AB84" s="98"/>
      <c r="AC84" s="98"/>
      <c r="AD84" s="98"/>
      <c r="AE84" s="98"/>
      <c r="AF84" s="98"/>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7"/>
    </row>
    <row r="85" spans="1:57" x14ac:dyDescent="0.2">
      <c r="A85" s="576"/>
      <c r="B85" s="98"/>
      <c r="C85" s="98"/>
      <c r="D85" s="98"/>
      <c r="E85" s="98"/>
      <c r="F85" s="98"/>
      <c r="G85" s="576"/>
      <c r="H85" s="576"/>
      <c r="I85" s="576"/>
      <c r="J85" s="576"/>
      <c r="K85" s="576"/>
      <c r="L85" s="576"/>
      <c r="M85" s="576"/>
      <c r="N85" s="576"/>
      <c r="O85" s="576"/>
      <c r="P85" s="576"/>
      <c r="Q85" s="576"/>
      <c r="R85" s="576"/>
      <c r="S85" s="576"/>
      <c r="T85" s="576"/>
      <c r="U85" s="576"/>
      <c r="V85" s="576"/>
      <c r="W85" s="576"/>
      <c r="X85" s="576"/>
      <c r="Y85" s="576"/>
      <c r="Z85" s="576"/>
      <c r="AA85" s="98"/>
      <c r="AB85" s="98"/>
      <c r="AC85" s="98"/>
      <c r="AD85" s="98"/>
      <c r="AE85" s="98"/>
      <c r="AF85" s="98"/>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7"/>
    </row>
    <row r="86" spans="1:57" x14ac:dyDescent="0.2">
      <c r="A86" s="579"/>
      <c r="B86" s="100"/>
      <c r="C86" s="100"/>
      <c r="D86" s="100"/>
      <c r="E86" s="100"/>
      <c r="F86" s="100"/>
      <c r="G86" s="579"/>
      <c r="H86" s="579"/>
      <c r="I86" s="579"/>
      <c r="J86" s="579"/>
      <c r="K86" s="579"/>
      <c r="L86" s="579"/>
      <c r="M86" s="579"/>
      <c r="N86" s="579"/>
      <c r="O86" s="579"/>
      <c r="P86" s="579"/>
      <c r="Q86" s="579"/>
      <c r="R86" s="579"/>
      <c r="S86" s="579"/>
      <c r="T86" s="579"/>
      <c r="U86" s="579"/>
      <c r="V86" s="579"/>
      <c r="W86" s="579"/>
      <c r="X86" s="579"/>
      <c r="Y86" s="579"/>
      <c r="Z86" s="579"/>
      <c r="AA86" s="100"/>
      <c r="AB86" s="100"/>
      <c r="AC86" s="100"/>
      <c r="AD86" s="100"/>
      <c r="AE86" s="100"/>
      <c r="AF86" s="100"/>
      <c r="AG86" s="579"/>
      <c r="AH86" s="579"/>
      <c r="AI86" s="579"/>
      <c r="AJ86" s="579"/>
      <c r="AK86" s="579"/>
      <c r="AL86" s="579"/>
      <c r="AM86" s="579"/>
      <c r="AN86" s="579"/>
      <c r="AO86" s="579"/>
      <c r="AP86" s="579"/>
      <c r="AQ86" s="579"/>
      <c r="AR86" s="579"/>
      <c r="AS86" s="579"/>
      <c r="AT86" s="579"/>
      <c r="AU86" s="579"/>
      <c r="AV86" s="579"/>
      <c r="AW86" s="579"/>
      <c r="AX86" s="579"/>
      <c r="AY86" s="579"/>
      <c r="AZ86" s="579"/>
      <c r="BA86" s="579"/>
      <c r="BB86" s="579"/>
      <c r="BC86" s="579"/>
      <c r="BD86" s="579"/>
      <c r="BE86" s="580"/>
    </row>
  </sheetData>
  <sheetProtection algorithmName="SHA-512" hashValue="Lvd1YryDPkbm9JVjbUlxh/uLLDvoh87oiZu5x6bFAJZvnCHte/SD80iBKjf1bqKKIxXKIvwDK37KCw0FRn+9Tg==" saltValue="SENE7+SIQIGnt601eV1gAg==" spinCount="100000" sheet="1" selectLockedCells="1"/>
  <dataConsolidate link="1"/>
  <mergeCells count="2">
    <mergeCell ref="D7:D9"/>
    <mergeCell ref="E7:E9"/>
  </mergeCells>
  <conditionalFormatting sqref="G4:Z4 G7:Z18">
    <cfRule type="notContainsBlanks" dxfId="24"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0F00-000000000000}">
      <formula1>1</formula1>
      <formula2>48</formula2>
    </dataValidation>
  </dataValidations>
  <pageMargins left="0.7" right="0.7" top="0.75" bottom="0.75" header="0.3" footer="0.3"/>
  <pageSetup paperSize="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2"/>
  <dimension ref="A1:BE132"/>
  <sheetViews>
    <sheetView zoomScale="120" zoomScaleNormal="120" workbookViewId="0">
      <pane xSplit="6" ySplit="6" topLeftCell="G7" activePane="bottomRight" state="frozen"/>
      <selection pane="topRight" activeCell="G1" sqref="G1"/>
      <selection pane="bottomLeft" activeCell="A7" sqref="A7"/>
      <selection pane="bottomRight" activeCell="G11" sqref="G11"/>
    </sheetView>
  </sheetViews>
  <sheetFormatPr defaultColWidth="9.140625" defaultRowHeight="11.25" x14ac:dyDescent="0.2"/>
  <cols>
    <col min="1" max="1" width="0.5703125" style="573" customWidth="1"/>
    <col min="2" max="2" width="10.140625" style="99" customWidth="1"/>
    <col min="3" max="3" width="13.85546875" style="99" bestFit="1" customWidth="1"/>
    <col min="4" max="4" width="9.85546875" style="99" bestFit="1" customWidth="1"/>
    <col min="5" max="5" width="29" style="99" customWidth="1"/>
    <col min="6" max="6" width="14.28515625" style="99" bestFit="1" customWidth="1"/>
    <col min="7" max="26" width="12.5703125" style="573"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s="99" customFormat="1" ht="12" thickBot="1" x14ac:dyDescent="0.25"/>
    <row r="2" spans="1:57" s="118" customFormat="1" ht="12.75" thickBot="1" x14ac:dyDescent="0.25">
      <c r="G2" s="148" t="s">
        <v>308</v>
      </c>
      <c r="H2" s="148" t="s">
        <v>309</v>
      </c>
      <c r="I2" s="148" t="s">
        <v>310</v>
      </c>
      <c r="J2" s="148" t="s">
        <v>311</v>
      </c>
      <c r="K2" s="148" t="s">
        <v>312</v>
      </c>
      <c r="L2" s="148" t="s">
        <v>313</v>
      </c>
      <c r="M2" s="148" t="s">
        <v>314</v>
      </c>
      <c r="N2" s="148" t="s">
        <v>315</v>
      </c>
      <c r="O2" s="148" t="s">
        <v>316</v>
      </c>
      <c r="P2" s="148" t="s">
        <v>317</v>
      </c>
      <c r="Q2" s="148" t="s">
        <v>318</v>
      </c>
      <c r="R2" s="148" t="s">
        <v>319</v>
      </c>
      <c r="S2" s="148" t="s">
        <v>320</v>
      </c>
      <c r="T2" s="148" t="s">
        <v>321</v>
      </c>
      <c r="U2" s="148" t="s">
        <v>322</v>
      </c>
      <c r="V2" s="148" t="s">
        <v>323</v>
      </c>
      <c r="W2" s="148" t="s">
        <v>324</v>
      </c>
      <c r="X2" s="148" t="s">
        <v>325</v>
      </c>
      <c r="Y2" s="148" t="s">
        <v>326</v>
      </c>
      <c r="Z2" s="148" t="s">
        <v>327</v>
      </c>
    </row>
    <row r="3" spans="1:57" s="119" customFormat="1" ht="24.6" customHeight="1" thickBot="1" x14ac:dyDescent="0.3">
      <c r="F3" s="124" t="s">
        <v>1170</v>
      </c>
      <c r="G3" s="488" t="str">
        <f>IF('Elenco immobili'!$C$4="","",'Elenco immobili'!$C$4)</f>
        <v>Sede ICE-AGID</v>
      </c>
      <c r="H3" s="488" t="str">
        <f>IF('Elenco immobili'!$C$5="","",'Elenco immobili'!$C$5)</f>
        <v/>
      </c>
      <c r="I3" s="488" t="str">
        <f>IF('Elenco immobili'!$C$6="","",'Elenco immobili'!$C$6)</f>
        <v/>
      </c>
      <c r="J3" s="488" t="str">
        <f>IF('Elenco immobili'!$C$7="","",'Elenco immobili'!$C$7)</f>
        <v/>
      </c>
      <c r="K3" s="488" t="str">
        <f>IF('Elenco immobili'!$C$8="","",'Elenco immobili'!$C$8)</f>
        <v/>
      </c>
      <c r="L3" s="488" t="str">
        <f>IF('Elenco immobili'!$C$9="","",'Elenco immobili'!$C$9)</f>
        <v/>
      </c>
      <c r="M3" s="488" t="str">
        <f>IF('Elenco immobili'!$C$10="","",'Elenco immobili'!$C$10)</f>
        <v/>
      </c>
      <c r="N3" s="488" t="str">
        <f>IF('Elenco immobili'!$C$11="","",'Elenco immobili'!$C$11)</f>
        <v/>
      </c>
      <c r="O3" s="488" t="str">
        <f>IF('Elenco immobili'!$C$12="","",'Elenco immobili'!$C$12)</f>
        <v/>
      </c>
      <c r="P3" s="488" t="str">
        <f>IF('Elenco immobili'!$C$13="","",'Elenco immobili'!$C$13)</f>
        <v/>
      </c>
      <c r="Q3" s="488" t="str">
        <f>IF('Elenco immobili'!$C$14="","",'Elenco immobili'!$C$14)</f>
        <v/>
      </c>
      <c r="R3" s="488" t="str">
        <f>IF('Elenco immobili'!$C$15="","",'Elenco immobili'!$C$15)</f>
        <v/>
      </c>
      <c r="S3" s="488" t="str">
        <f>IF('Elenco immobili'!$C$16="","",'Elenco immobili'!$C$16)</f>
        <v/>
      </c>
      <c r="T3" s="488" t="str">
        <f>IF('Elenco immobili'!$C$17="","",'Elenco immobili'!$C$17)</f>
        <v/>
      </c>
      <c r="U3" s="488" t="str">
        <f>IF('Elenco immobili'!$C$18="","",'Elenco immobili'!$C$18)</f>
        <v/>
      </c>
      <c r="V3" s="488" t="str">
        <f>IF('Elenco immobili'!$C$19="","",'Elenco immobili'!$C$19)</f>
        <v/>
      </c>
      <c r="W3" s="488" t="str">
        <f>IF('Elenco immobili'!$C$20="","",'Elenco immobili'!$C$20)</f>
        <v/>
      </c>
      <c r="X3" s="488" t="str">
        <f>IF('Elenco immobili'!$C$21="","",'Elenco immobili'!$C$21)</f>
        <v/>
      </c>
      <c r="Y3" s="488" t="str">
        <f>IF('Elenco immobili'!$C$22="","",'Elenco immobili'!$C$22)</f>
        <v/>
      </c>
      <c r="Z3" s="488" t="str">
        <f>IF('Elenco immobili'!$C$23="","",'Elenco immobili'!$C$23)</f>
        <v/>
      </c>
    </row>
    <row r="4" spans="1:57" ht="13.5" thickBot="1" x14ac:dyDescent="0.25">
      <c r="B4" s="105" t="s">
        <v>768</v>
      </c>
      <c r="F4" s="125" t="s">
        <v>328</v>
      </c>
      <c r="G4" s="574"/>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21.6" customHeight="1" thickBot="1" x14ac:dyDescent="0.25">
      <c r="A6" s="101"/>
      <c r="B6" s="121" t="s">
        <v>250</v>
      </c>
      <c r="C6" s="122" t="s">
        <v>251</v>
      </c>
      <c r="D6" s="122" t="s">
        <v>252</v>
      </c>
      <c r="E6" s="122" t="s">
        <v>253</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101.25" x14ac:dyDescent="0.2">
      <c r="A7" s="575"/>
      <c r="B7" s="203" t="s">
        <v>509</v>
      </c>
      <c r="C7" s="966" t="s">
        <v>567</v>
      </c>
      <c r="D7" s="960" t="s">
        <v>568</v>
      </c>
      <c r="E7" s="204" t="s">
        <v>569</v>
      </c>
      <c r="F7" s="205" t="s">
        <v>570</v>
      </c>
      <c r="G7" s="454"/>
      <c r="H7" s="454"/>
      <c r="I7" s="454"/>
      <c r="J7" s="454"/>
      <c r="K7" s="454"/>
      <c r="L7" s="454"/>
      <c r="M7" s="454"/>
      <c r="N7" s="454"/>
      <c r="O7" s="454"/>
      <c r="P7" s="454"/>
      <c r="Q7" s="454"/>
      <c r="R7" s="454"/>
      <c r="S7" s="454"/>
      <c r="T7" s="454"/>
      <c r="U7" s="454"/>
      <c r="V7" s="454"/>
      <c r="W7" s="454"/>
      <c r="X7" s="454"/>
      <c r="Y7" s="454"/>
      <c r="Z7" s="454"/>
      <c r="AA7" s="130">
        <v>2097.2820000000002</v>
      </c>
      <c r="AB7" s="595" t="s">
        <v>38</v>
      </c>
      <c r="AC7" s="131">
        <f>'Ribassi PE'!$K$8</f>
        <v>7.0000000000000007E-2</v>
      </c>
      <c r="AD7" s="132">
        <f t="shared" ref="AD7:AD64" si="0">ROUND(AA7*(1-AC7),3)</f>
        <v>1950.472</v>
      </c>
      <c r="AE7" s="133">
        <f>'Ribassi PE'!$M$8</f>
        <v>0.55000000000000004</v>
      </c>
      <c r="AF7" s="132">
        <f t="shared" ref="AF7:AF64" si="1">ROUND(AA7*(1-AE7),3)</f>
        <v>943.77700000000004</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90" x14ac:dyDescent="0.2">
      <c r="A8" s="575"/>
      <c r="B8" s="206" t="s">
        <v>510</v>
      </c>
      <c r="C8" s="965"/>
      <c r="D8" s="958"/>
      <c r="E8" s="530" t="s">
        <v>571</v>
      </c>
      <c r="F8" s="207" t="s">
        <v>570</v>
      </c>
      <c r="G8" s="455"/>
      <c r="H8" s="455"/>
      <c r="I8" s="455"/>
      <c r="J8" s="455"/>
      <c r="K8" s="455"/>
      <c r="L8" s="455"/>
      <c r="M8" s="455"/>
      <c r="N8" s="455"/>
      <c r="O8" s="455"/>
      <c r="P8" s="455"/>
      <c r="Q8" s="455"/>
      <c r="R8" s="455"/>
      <c r="S8" s="455"/>
      <c r="T8" s="455"/>
      <c r="U8" s="455"/>
      <c r="V8" s="455"/>
      <c r="W8" s="455"/>
      <c r="X8" s="455"/>
      <c r="Y8" s="455"/>
      <c r="Z8" s="455"/>
      <c r="AA8" s="164">
        <v>430.24700000000001</v>
      </c>
      <c r="AB8" s="596" t="s">
        <v>38</v>
      </c>
      <c r="AC8" s="165">
        <f>'Ribassi PE'!$K$8</f>
        <v>7.0000000000000007E-2</v>
      </c>
      <c r="AD8" s="166">
        <f t="shared" ref="AD8:AD35" si="2">ROUND(AA8*(1-AC8),3)</f>
        <v>400.13</v>
      </c>
      <c r="AE8" s="165">
        <f>'Ribassi PE'!$M$8</f>
        <v>0.55000000000000004</v>
      </c>
      <c r="AF8" s="166">
        <f t="shared" ref="AF8:AF35" si="3">ROUND(AA8*(1-AE8),3)</f>
        <v>193.61099999999999</v>
      </c>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67.5" x14ac:dyDescent="0.2">
      <c r="A9" s="575"/>
      <c r="B9" s="206" t="s">
        <v>511</v>
      </c>
      <c r="C9" s="536" t="s">
        <v>572</v>
      </c>
      <c r="D9" s="529" t="s">
        <v>573</v>
      </c>
      <c r="E9" s="530" t="s">
        <v>574</v>
      </c>
      <c r="F9" s="207" t="s">
        <v>575</v>
      </c>
      <c r="G9" s="455"/>
      <c r="H9" s="455"/>
      <c r="I9" s="455"/>
      <c r="J9" s="455"/>
      <c r="K9" s="455"/>
      <c r="L9" s="455"/>
      <c r="M9" s="455"/>
      <c r="N9" s="455"/>
      <c r="O9" s="455"/>
      <c r="P9" s="455"/>
      <c r="Q9" s="455"/>
      <c r="R9" s="455"/>
      <c r="S9" s="455"/>
      <c r="T9" s="455"/>
      <c r="U9" s="455"/>
      <c r="V9" s="455"/>
      <c r="W9" s="455"/>
      <c r="X9" s="455"/>
      <c r="Y9" s="455"/>
      <c r="Z9" s="455"/>
      <c r="AA9" s="134">
        <v>160.874</v>
      </c>
      <c r="AB9" s="596" t="s">
        <v>38</v>
      </c>
      <c r="AC9" s="135">
        <f>'Ribassi PE'!$K$8</f>
        <v>7.0000000000000007E-2</v>
      </c>
      <c r="AD9" s="136">
        <f t="shared" si="2"/>
        <v>149.613</v>
      </c>
      <c r="AE9" s="135">
        <f>'Ribassi PE'!$M$8</f>
        <v>0.55000000000000004</v>
      </c>
      <c r="AF9" s="136">
        <f t="shared" si="3"/>
        <v>72.393000000000001</v>
      </c>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45" x14ac:dyDescent="0.2">
      <c r="A10" s="575"/>
      <c r="B10" s="206" t="s">
        <v>512</v>
      </c>
      <c r="C10" s="536" t="s">
        <v>576</v>
      </c>
      <c r="D10" s="529" t="s">
        <v>577</v>
      </c>
      <c r="E10" s="530" t="s">
        <v>578</v>
      </c>
      <c r="F10" s="207" t="s">
        <v>579</v>
      </c>
      <c r="G10" s="455"/>
      <c r="H10" s="455"/>
      <c r="I10" s="455"/>
      <c r="J10" s="455"/>
      <c r="K10" s="455"/>
      <c r="L10" s="455"/>
      <c r="M10" s="455"/>
      <c r="N10" s="455"/>
      <c r="O10" s="455"/>
      <c r="P10" s="455"/>
      <c r="Q10" s="455"/>
      <c r="R10" s="455"/>
      <c r="S10" s="455"/>
      <c r="T10" s="455"/>
      <c r="U10" s="455"/>
      <c r="V10" s="455"/>
      <c r="W10" s="455"/>
      <c r="X10" s="455"/>
      <c r="Y10" s="455"/>
      <c r="Z10" s="455"/>
      <c r="AA10" s="134">
        <v>3.5289999999999999</v>
      </c>
      <c r="AB10" s="596" t="s">
        <v>38</v>
      </c>
      <c r="AC10" s="135">
        <f>'Ribassi PE'!$K$8</f>
        <v>7.0000000000000007E-2</v>
      </c>
      <c r="AD10" s="136">
        <f t="shared" si="2"/>
        <v>3.282</v>
      </c>
      <c r="AE10" s="135">
        <f>'Ribassi PE'!$M$8</f>
        <v>0.55000000000000004</v>
      </c>
      <c r="AF10" s="136">
        <f t="shared" si="3"/>
        <v>1.5880000000000001</v>
      </c>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45" x14ac:dyDescent="0.2">
      <c r="A11" s="575"/>
      <c r="B11" s="206" t="s">
        <v>513</v>
      </c>
      <c r="C11" s="965" t="s">
        <v>580</v>
      </c>
      <c r="D11" s="958" t="s">
        <v>581</v>
      </c>
      <c r="E11" s="530" t="s">
        <v>582</v>
      </c>
      <c r="F11" s="207" t="s">
        <v>583</v>
      </c>
      <c r="G11" s="455"/>
      <c r="H11" s="455"/>
      <c r="I11" s="455"/>
      <c r="J11" s="455"/>
      <c r="K11" s="455"/>
      <c r="L11" s="455"/>
      <c r="M11" s="455"/>
      <c r="N11" s="455"/>
      <c r="O11" s="455"/>
      <c r="P11" s="455"/>
      <c r="Q11" s="455"/>
      <c r="R11" s="455"/>
      <c r="S11" s="455"/>
      <c r="T11" s="455"/>
      <c r="U11" s="455"/>
      <c r="V11" s="455"/>
      <c r="W11" s="455"/>
      <c r="X11" s="455"/>
      <c r="Y11" s="455"/>
      <c r="Z11" s="455"/>
      <c r="AA11" s="164">
        <v>249.096</v>
      </c>
      <c r="AB11" s="596" t="s">
        <v>38</v>
      </c>
      <c r="AC11" s="165">
        <f>'Ribassi PE'!$K$8</f>
        <v>7.0000000000000007E-2</v>
      </c>
      <c r="AD11" s="166">
        <f t="shared" si="2"/>
        <v>231.65899999999999</v>
      </c>
      <c r="AE11" s="165">
        <f>'Ribassi PE'!$M$8</f>
        <v>0.55000000000000004</v>
      </c>
      <c r="AF11" s="166">
        <f t="shared" si="3"/>
        <v>112.093</v>
      </c>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45" x14ac:dyDescent="0.2">
      <c r="A12" s="575"/>
      <c r="B12" s="206" t="s">
        <v>514</v>
      </c>
      <c r="C12" s="965"/>
      <c r="D12" s="958"/>
      <c r="E12" s="530" t="s">
        <v>584</v>
      </c>
      <c r="F12" s="207" t="s">
        <v>583</v>
      </c>
      <c r="G12" s="455"/>
      <c r="H12" s="455"/>
      <c r="I12" s="455"/>
      <c r="J12" s="455"/>
      <c r="K12" s="455"/>
      <c r="L12" s="455"/>
      <c r="M12" s="455"/>
      <c r="N12" s="455"/>
      <c r="O12" s="455"/>
      <c r="P12" s="455"/>
      <c r="Q12" s="455"/>
      <c r="R12" s="455"/>
      <c r="S12" s="455"/>
      <c r="T12" s="455"/>
      <c r="U12" s="455"/>
      <c r="V12" s="455"/>
      <c r="W12" s="455"/>
      <c r="X12" s="455"/>
      <c r="Y12" s="455"/>
      <c r="Z12" s="455"/>
      <c r="AA12" s="164">
        <v>124.548</v>
      </c>
      <c r="AB12" s="596" t="s">
        <v>38</v>
      </c>
      <c r="AC12" s="165">
        <f>'Ribassi PE'!$K$8</f>
        <v>7.0000000000000007E-2</v>
      </c>
      <c r="AD12" s="166">
        <f t="shared" si="2"/>
        <v>115.83</v>
      </c>
      <c r="AE12" s="165">
        <f>'Ribassi PE'!$M$8</f>
        <v>0.55000000000000004</v>
      </c>
      <c r="AF12" s="166">
        <f t="shared" si="3"/>
        <v>56.046999999999997</v>
      </c>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56.25" x14ac:dyDescent="0.2">
      <c r="A13" s="575"/>
      <c r="B13" s="206" t="s">
        <v>515</v>
      </c>
      <c r="C13" s="965"/>
      <c r="D13" s="958"/>
      <c r="E13" s="530" t="s">
        <v>585</v>
      </c>
      <c r="F13" s="207" t="s">
        <v>579</v>
      </c>
      <c r="G13" s="455"/>
      <c r="H13" s="455"/>
      <c r="I13" s="455"/>
      <c r="J13" s="455"/>
      <c r="K13" s="455"/>
      <c r="L13" s="455"/>
      <c r="M13" s="455"/>
      <c r="N13" s="455"/>
      <c r="O13" s="455"/>
      <c r="P13" s="455"/>
      <c r="Q13" s="455"/>
      <c r="R13" s="455"/>
      <c r="S13" s="455"/>
      <c r="T13" s="455"/>
      <c r="U13" s="455"/>
      <c r="V13" s="455"/>
      <c r="W13" s="455"/>
      <c r="X13" s="455"/>
      <c r="Y13" s="455"/>
      <c r="Z13" s="455"/>
      <c r="AA13" s="164">
        <v>1.5569999999999999</v>
      </c>
      <c r="AB13" s="596" t="s">
        <v>38</v>
      </c>
      <c r="AC13" s="165">
        <f>'Ribassi PE'!$K$8</f>
        <v>7.0000000000000007E-2</v>
      </c>
      <c r="AD13" s="166">
        <f t="shared" si="2"/>
        <v>1.448</v>
      </c>
      <c r="AE13" s="165">
        <f>'Ribassi PE'!$M$8</f>
        <v>0.55000000000000004</v>
      </c>
      <c r="AF13" s="166">
        <f t="shared" si="3"/>
        <v>0.70099999999999996</v>
      </c>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67.5" x14ac:dyDescent="0.2">
      <c r="A14" s="575"/>
      <c r="B14" s="206" t="s">
        <v>516</v>
      </c>
      <c r="C14" s="965" t="s">
        <v>586</v>
      </c>
      <c r="D14" s="958" t="s">
        <v>587</v>
      </c>
      <c r="E14" s="530" t="s">
        <v>588</v>
      </c>
      <c r="F14" s="207" t="s">
        <v>589</v>
      </c>
      <c r="G14" s="455"/>
      <c r="H14" s="455"/>
      <c r="I14" s="455"/>
      <c r="J14" s="455"/>
      <c r="K14" s="455"/>
      <c r="L14" s="455"/>
      <c r="M14" s="455"/>
      <c r="N14" s="455"/>
      <c r="O14" s="455"/>
      <c r="P14" s="455"/>
      <c r="Q14" s="455"/>
      <c r="R14" s="455"/>
      <c r="S14" s="455"/>
      <c r="T14" s="455"/>
      <c r="U14" s="455"/>
      <c r="V14" s="455"/>
      <c r="W14" s="455"/>
      <c r="X14" s="455"/>
      <c r="Y14" s="455"/>
      <c r="Z14" s="455"/>
      <c r="AA14" s="134">
        <v>41.930999999999997</v>
      </c>
      <c r="AB14" s="596" t="s">
        <v>38</v>
      </c>
      <c r="AC14" s="167">
        <f>'Ribassi PE'!$K$8</f>
        <v>7.0000000000000007E-2</v>
      </c>
      <c r="AD14" s="168">
        <f t="shared" si="2"/>
        <v>38.996000000000002</v>
      </c>
      <c r="AE14" s="167">
        <f>'Ribassi PE'!$M$8</f>
        <v>0.55000000000000004</v>
      </c>
      <c r="AF14" s="168">
        <f t="shared" si="3"/>
        <v>18.869</v>
      </c>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ht="56.25" x14ac:dyDescent="0.2">
      <c r="A15" s="575"/>
      <c r="B15" s="206" t="s">
        <v>517</v>
      </c>
      <c r="C15" s="965"/>
      <c r="D15" s="958"/>
      <c r="E15" s="530" t="s">
        <v>590</v>
      </c>
      <c r="F15" s="207" t="s">
        <v>589</v>
      </c>
      <c r="G15" s="455"/>
      <c r="H15" s="455"/>
      <c r="I15" s="455"/>
      <c r="J15" s="455"/>
      <c r="K15" s="455"/>
      <c r="L15" s="455"/>
      <c r="M15" s="455"/>
      <c r="N15" s="455"/>
      <c r="O15" s="455"/>
      <c r="P15" s="455"/>
      <c r="Q15" s="455"/>
      <c r="R15" s="455"/>
      <c r="S15" s="455"/>
      <c r="T15" s="455"/>
      <c r="U15" s="455"/>
      <c r="V15" s="455"/>
      <c r="W15" s="455"/>
      <c r="X15" s="455"/>
      <c r="Y15" s="455"/>
      <c r="Z15" s="455"/>
      <c r="AA15" s="134">
        <v>26.984999999999999</v>
      </c>
      <c r="AB15" s="596" t="s">
        <v>38</v>
      </c>
      <c r="AC15" s="165">
        <f>'Ribassi PE'!$K$8</f>
        <v>7.0000000000000007E-2</v>
      </c>
      <c r="AD15" s="169">
        <f t="shared" si="2"/>
        <v>25.096</v>
      </c>
      <c r="AE15" s="165">
        <f>'Ribassi PE'!$M$8</f>
        <v>0.55000000000000004</v>
      </c>
      <c r="AF15" s="169">
        <f t="shared" si="3"/>
        <v>12.143000000000001</v>
      </c>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ht="67.5" x14ac:dyDescent="0.2">
      <c r="A16" s="575"/>
      <c r="B16" s="206" t="s">
        <v>518</v>
      </c>
      <c r="C16" s="965" t="s">
        <v>591</v>
      </c>
      <c r="D16" s="958" t="s">
        <v>592</v>
      </c>
      <c r="E16" s="530" t="s">
        <v>593</v>
      </c>
      <c r="F16" s="207" t="s">
        <v>594</v>
      </c>
      <c r="G16" s="455"/>
      <c r="H16" s="455"/>
      <c r="I16" s="455"/>
      <c r="J16" s="455"/>
      <c r="K16" s="455"/>
      <c r="L16" s="455"/>
      <c r="M16" s="455"/>
      <c r="N16" s="455"/>
      <c r="O16" s="455"/>
      <c r="P16" s="455"/>
      <c r="Q16" s="455"/>
      <c r="R16" s="455"/>
      <c r="S16" s="455"/>
      <c r="T16" s="455"/>
      <c r="U16" s="455"/>
      <c r="V16" s="455"/>
      <c r="W16" s="455"/>
      <c r="X16" s="455"/>
      <c r="Y16" s="455"/>
      <c r="Z16" s="455"/>
      <c r="AA16" s="134">
        <v>45.045000000000002</v>
      </c>
      <c r="AB16" s="596" t="s">
        <v>38</v>
      </c>
      <c r="AC16" s="135">
        <f>'Ribassi PE'!$K$8</f>
        <v>7.0000000000000007E-2</v>
      </c>
      <c r="AD16" s="136">
        <f t="shared" si="2"/>
        <v>41.892000000000003</v>
      </c>
      <c r="AE16" s="135">
        <f>'Ribassi PE'!$M$8</f>
        <v>0.55000000000000004</v>
      </c>
      <c r="AF16" s="136">
        <f t="shared" si="3"/>
        <v>20.27</v>
      </c>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ht="56.25" x14ac:dyDescent="0.2">
      <c r="A17" s="575"/>
      <c r="B17" s="206" t="s">
        <v>519</v>
      </c>
      <c r="C17" s="965"/>
      <c r="D17" s="958"/>
      <c r="E17" s="530" t="s">
        <v>595</v>
      </c>
      <c r="F17" s="207" t="s">
        <v>594</v>
      </c>
      <c r="G17" s="455"/>
      <c r="H17" s="455"/>
      <c r="I17" s="455"/>
      <c r="J17" s="455"/>
      <c r="K17" s="455"/>
      <c r="L17" s="455"/>
      <c r="M17" s="455"/>
      <c r="N17" s="455"/>
      <c r="O17" s="455"/>
      <c r="P17" s="455"/>
      <c r="Q17" s="455"/>
      <c r="R17" s="455"/>
      <c r="S17" s="455"/>
      <c r="T17" s="455"/>
      <c r="U17" s="455"/>
      <c r="V17" s="455"/>
      <c r="W17" s="455"/>
      <c r="X17" s="455"/>
      <c r="Y17" s="455"/>
      <c r="Z17" s="455"/>
      <c r="AA17" s="164">
        <v>30.099</v>
      </c>
      <c r="AB17" s="596" t="s">
        <v>38</v>
      </c>
      <c r="AC17" s="165">
        <f>'Ribassi PE'!$K$8</f>
        <v>7.0000000000000007E-2</v>
      </c>
      <c r="AD17" s="166">
        <f t="shared" si="2"/>
        <v>27.992000000000001</v>
      </c>
      <c r="AE17" s="165">
        <f>'Ribassi PE'!$M$8</f>
        <v>0.55000000000000004</v>
      </c>
      <c r="AF17" s="166">
        <f t="shared" si="3"/>
        <v>13.545</v>
      </c>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ht="67.5" x14ac:dyDescent="0.2">
      <c r="A18" s="575"/>
      <c r="B18" s="206" t="s">
        <v>520</v>
      </c>
      <c r="C18" s="965" t="s">
        <v>596</v>
      </c>
      <c r="D18" s="958" t="s">
        <v>597</v>
      </c>
      <c r="E18" s="530" t="s">
        <v>598</v>
      </c>
      <c r="F18" s="207" t="s">
        <v>589</v>
      </c>
      <c r="G18" s="455"/>
      <c r="H18" s="455"/>
      <c r="I18" s="455"/>
      <c r="J18" s="455"/>
      <c r="K18" s="455"/>
      <c r="L18" s="455"/>
      <c r="M18" s="455"/>
      <c r="N18" s="455"/>
      <c r="O18" s="455"/>
      <c r="P18" s="455"/>
      <c r="Q18" s="455"/>
      <c r="R18" s="455"/>
      <c r="S18" s="455"/>
      <c r="T18" s="455"/>
      <c r="U18" s="455"/>
      <c r="V18" s="455"/>
      <c r="W18" s="455"/>
      <c r="X18" s="455"/>
      <c r="Y18" s="455"/>
      <c r="Z18" s="455"/>
      <c r="AA18" s="164">
        <v>48.158999999999999</v>
      </c>
      <c r="AB18" s="596" t="s">
        <v>38</v>
      </c>
      <c r="AC18" s="165">
        <f>'Ribassi PE'!$K$8</f>
        <v>7.0000000000000007E-2</v>
      </c>
      <c r="AD18" s="166">
        <f t="shared" si="2"/>
        <v>44.787999999999997</v>
      </c>
      <c r="AE18" s="165">
        <f>'Ribassi PE'!$M$8</f>
        <v>0.55000000000000004</v>
      </c>
      <c r="AF18" s="166">
        <f t="shared" si="3"/>
        <v>21.672000000000001</v>
      </c>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ht="56.25" x14ac:dyDescent="0.2">
      <c r="A19" s="575"/>
      <c r="B19" s="206" t="s">
        <v>521</v>
      </c>
      <c r="C19" s="965"/>
      <c r="D19" s="958"/>
      <c r="E19" s="530" t="s">
        <v>599</v>
      </c>
      <c r="F19" s="207" t="s">
        <v>589</v>
      </c>
      <c r="G19" s="455"/>
      <c r="H19" s="455"/>
      <c r="I19" s="455"/>
      <c r="J19" s="455"/>
      <c r="K19" s="455"/>
      <c r="L19" s="455"/>
      <c r="M19" s="455"/>
      <c r="N19" s="455"/>
      <c r="O19" s="455"/>
      <c r="P19" s="455"/>
      <c r="Q19" s="455"/>
      <c r="R19" s="455"/>
      <c r="S19" s="455"/>
      <c r="T19" s="455"/>
      <c r="U19" s="455"/>
      <c r="V19" s="455"/>
      <c r="W19" s="455"/>
      <c r="X19" s="455"/>
      <c r="Y19" s="455"/>
      <c r="Z19" s="455"/>
      <c r="AA19" s="134">
        <v>33.213000000000001</v>
      </c>
      <c r="AB19" s="596" t="s">
        <v>38</v>
      </c>
      <c r="AC19" s="135">
        <f>'Ribassi PE'!$K$8</f>
        <v>7.0000000000000007E-2</v>
      </c>
      <c r="AD19" s="136">
        <f t="shared" si="2"/>
        <v>30.888000000000002</v>
      </c>
      <c r="AE19" s="135">
        <f>'Ribassi PE'!$M$8</f>
        <v>0.55000000000000004</v>
      </c>
      <c r="AF19" s="136">
        <f t="shared" si="3"/>
        <v>14.946</v>
      </c>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7"/>
    </row>
    <row r="20" spans="1:57" ht="56.25" x14ac:dyDescent="0.2">
      <c r="A20" s="575"/>
      <c r="B20" s="206" t="s">
        <v>522</v>
      </c>
      <c r="C20" s="965" t="s">
        <v>600</v>
      </c>
      <c r="D20" s="958" t="s">
        <v>601</v>
      </c>
      <c r="E20" s="530" t="s">
        <v>602</v>
      </c>
      <c r="F20" s="207" t="s">
        <v>603</v>
      </c>
      <c r="G20" s="455"/>
      <c r="H20" s="455"/>
      <c r="I20" s="455"/>
      <c r="J20" s="455"/>
      <c r="K20" s="455"/>
      <c r="L20" s="455"/>
      <c r="M20" s="455"/>
      <c r="N20" s="455"/>
      <c r="O20" s="455"/>
      <c r="P20" s="455"/>
      <c r="Q20" s="455"/>
      <c r="R20" s="455"/>
      <c r="S20" s="455"/>
      <c r="T20" s="455"/>
      <c r="U20" s="455"/>
      <c r="V20" s="455"/>
      <c r="W20" s="455"/>
      <c r="X20" s="455"/>
      <c r="Y20" s="455"/>
      <c r="Z20" s="455"/>
      <c r="AA20" s="164">
        <v>24.702000000000002</v>
      </c>
      <c r="AB20" s="596" t="s">
        <v>38</v>
      </c>
      <c r="AC20" s="165">
        <f>'Ribassi PE'!$K$8</f>
        <v>7.0000000000000007E-2</v>
      </c>
      <c r="AD20" s="166">
        <f t="shared" si="2"/>
        <v>22.972999999999999</v>
      </c>
      <c r="AE20" s="165">
        <f>'Ribassi PE'!$M$8</f>
        <v>0.55000000000000004</v>
      </c>
      <c r="AF20" s="166">
        <f t="shared" si="3"/>
        <v>11.116</v>
      </c>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7"/>
    </row>
    <row r="21" spans="1:57" ht="45" x14ac:dyDescent="0.2">
      <c r="A21" s="575"/>
      <c r="B21" s="206" t="s">
        <v>523</v>
      </c>
      <c r="C21" s="965"/>
      <c r="D21" s="958"/>
      <c r="E21" s="530" t="s">
        <v>604</v>
      </c>
      <c r="F21" s="207" t="s">
        <v>603</v>
      </c>
      <c r="G21" s="455"/>
      <c r="H21" s="455"/>
      <c r="I21" s="455"/>
      <c r="J21" s="455"/>
      <c r="K21" s="455"/>
      <c r="L21" s="455"/>
      <c r="M21" s="455"/>
      <c r="N21" s="455"/>
      <c r="O21" s="455"/>
      <c r="P21" s="455"/>
      <c r="Q21" s="455"/>
      <c r="R21" s="455"/>
      <c r="S21" s="455"/>
      <c r="T21" s="455"/>
      <c r="U21" s="455"/>
      <c r="V21" s="455"/>
      <c r="W21" s="455"/>
      <c r="X21" s="455"/>
      <c r="Y21" s="455"/>
      <c r="Z21" s="455"/>
      <c r="AA21" s="134">
        <v>9.7560000000000002</v>
      </c>
      <c r="AB21" s="596" t="s">
        <v>38</v>
      </c>
      <c r="AC21" s="135">
        <f>'Ribassi PE'!$K$8</f>
        <v>7.0000000000000007E-2</v>
      </c>
      <c r="AD21" s="136">
        <f t="shared" si="2"/>
        <v>9.0730000000000004</v>
      </c>
      <c r="AE21" s="135">
        <f>'Ribassi PE'!$M$8</f>
        <v>0.55000000000000004</v>
      </c>
      <c r="AF21" s="136">
        <f t="shared" si="3"/>
        <v>4.3899999999999997</v>
      </c>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7"/>
    </row>
    <row r="22" spans="1:57" ht="56.25" x14ac:dyDescent="0.2">
      <c r="A22" s="575"/>
      <c r="B22" s="206" t="s">
        <v>524</v>
      </c>
      <c r="C22" s="965" t="s">
        <v>605</v>
      </c>
      <c r="D22" s="958" t="s">
        <v>606</v>
      </c>
      <c r="E22" s="530" t="s">
        <v>607</v>
      </c>
      <c r="F22" s="207" t="s">
        <v>608</v>
      </c>
      <c r="G22" s="455"/>
      <c r="H22" s="455"/>
      <c r="I22" s="455"/>
      <c r="J22" s="455"/>
      <c r="K22" s="455"/>
      <c r="L22" s="455"/>
      <c r="M22" s="455"/>
      <c r="N22" s="455"/>
      <c r="O22" s="455"/>
      <c r="P22" s="455"/>
      <c r="Q22" s="455"/>
      <c r="R22" s="455"/>
      <c r="S22" s="455"/>
      <c r="T22" s="455"/>
      <c r="U22" s="455"/>
      <c r="V22" s="455"/>
      <c r="W22" s="455"/>
      <c r="X22" s="455"/>
      <c r="Y22" s="455"/>
      <c r="Z22" s="455"/>
      <c r="AA22" s="164">
        <v>21.036999999999999</v>
      </c>
      <c r="AB22" s="596" t="s">
        <v>38</v>
      </c>
      <c r="AC22" s="165">
        <f>'Ribassi PE'!$K$8</f>
        <v>7.0000000000000007E-2</v>
      </c>
      <c r="AD22" s="166">
        <f t="shared" si="2"/>
        <v>19.564</v>
      </c>
      <c r="AE22" s="165">
        <f>'Ribassi PE'!$M$8</f>
        <v>0.55000000000000004</v>
      </c>
      <c r="AF22" s="166">
        <f t="shared" si="3"/>
        <v>9.4670000000000005</v>
      </c>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ht="45" x14ac:dyDescent="0.2">
      <c r="A23" s="575"/>
      <c r="B23" s="206" t="s">
        <v>525</v>
      </c>
      <c r="C23" s="965"/>
      <c r="D23" s="958"/>
      <c r="E23" s="530" t="s">
        <v>609</v>
      </c>
      <c r="F23" s="207" t="s">
        <v>608</v>
      </c>
      <c r="G23" s="455"/>
      <c r="H23" s="455"/>
      <c r="I23" s="455"/>
      <c r="J23" s="455"/>
      <c r="K23" s="455"/>
      <c r="L23" s="455"/>
      <c r="M23" s="455"/>
      <c r="N23" s="455"/>
      <c r="O23" s="455"/>
      <c r="P23" s="455"/>
      <c r="Q23" s="455"/>
      <c r="R23" s="455"/>
      <c r="S23" s="455"/>
      <c r="T23" s="455"/>
      <c r="U23" s="455"/>
      <c r="V23" s="455"/>
      <c r="W23" s="455"/>
      <c r="X23" s="455"/>
      <c r="Y23" s="455"/>
      <c r="Z23" s="455"/>
      <c r="AA23" s="134">
        <v>11.621</v>
      </c>
      <c r="AB23" s="596" t="s">
        <v>38</v>
      </c>
      <c r="AC23" s="135">
        <f>'Ribassi PE'!$K$8</f>
        <v>7.0000000000000007E-2</v>
      </c>
      <c r="AD23" s="136">
        <f t="shared" si="2"/>
        <v>10.808</v>
      </c>
      <c r="AE23" s="135">
        <f>'Ribassi PE'!$M$8</f>
        <v>0.55000000000000004</v>
      </c>
      <c r="AF23" s="136">
        <f t="shared" si="3"/>
        <v>5.2290000000000001</v>
      </c>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ht="56.25" x14ac:dyDescent="0.2">
      <c r="A24" s="575"/>
      <c r="B24" s="206" t="s">
        <v>526</v>
      </c>
      <c r="C24" s="965" t="s">
        <v>610</v>
      </c>
      <c r="D24" s="958" t="s">
        <v>606</v>
      </c>
      <c r="E24" s="530" t="s">
        <v>611</v>
      </c>
      <c r="F24" s="207" t="s">
        <v>608</v>
      </c>
      <c r="G24" s="455"/>
      <c r="H24" s="455"/>
      <c r="I24" s="455"/>
      <c r="J24" s="455"/>
      <c r="K24" s="455"/>
      <c r="L24" s="455"/>
      <c r="M24" s="455"/>
      <c r="N24" s="455"/>
      <c r="O24" s="455"/>
      <c r="P24" s="455"/>
      <c r="Q24" s="455"/>
      <c r="R24" s="455"/>
      <c r="S24" s="455"/>
      <c r="T24" s="455"/>
      <c r="U24" s="455"/>
      <c r="V24" s="455"/>
      <c r="W24" s="455"/>
      <c r="X24" s="455"/>
      <c r="Y24" s="455"/>
      <c r="Z24" s="455"/>
      <c r="AA24" s="134">
        <v>25.245000000000001</v>
      </c>
      <c r="AB24" s="596" t="s">
        <v>38</v>
      </c>
      <c r="AC24" s="135">
        <f>'Ribassi PE'!$K$8</f>
        <v>7.0000000000000007E-2</v>
      </c>
      <c r="AD24" s="136">
        <f t="shared" si="2"/>
        <v>23.478000000000002</v>
      </c>
      <c r="AE24" s="135">
        <f>'Ribassi PE'!$M$8</f>
        <v>0.55000000000000004</v>
      </c>
      <c r="AF24" s="136">
        <f t="shared" si="3"/>
        <v>11.36</v>
      </c>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ht="45" x14ac:dyDescent="0.2">
      <c r="A25" s="575"/>
      <c r="B25" s="206" t="s">
        <v>527</v>
      </c>
      <c r="C25" s="965"/>
      <c r="D25" s="958"/>
      <c r="E25" s="530" t="s">
        <v>612</v>
      </c>
      <c r="F25" s="207" t="s">
        <v>608</v>
      </c>
      <c r="G25" s="455"/>
      <c r="H25" s="455"/>
      <c r="I25" s="455"/>
      <c r="J25" s="455"/>
      <c r="K25" s="455"/>
      <c r="L25" s="455"/>
      <c r="M25" s="455"/>
      <c r="N25" s="455"/>
      <c r="O25" s="455"/>
      <c r="P25" s="455"/>
      <c r="Q25" s="455"/>
      <c r="R25" s="455"/>
      <c r="S25" s="455"/>
      <c r="T25" s="455"/>
      <c r="U25" s="455"/>
      <c r="V25" s="455"/>
      <c r="W25" s="455"/>
      <c r="X25" s="455"/>
      <c r="Y25" s="455"/>
      <c r="Z25" s="455"/>
      <c r="AA25" s="164">
        <v>13.945</v>
      </c>
      <c r="AB25" s="596" t="s">
        <v>38</v>
      </c>
      <c r="AC25" s="165">
        <f>'Ribassi PE'!$K$8</f>
        <v>7.0000000000000007E-2</v>
      </c>
      <c r="AD25" s="166">
        <f t="shared" si="2"/>
        <v>12.968999999999999</v>
      </c>
      <c r="AE25" s="165">
        <f>'Ribassi PE'!$M$8</f>
        <v>0.55000000000000004</v>
      </c>
      <c r="AF25" s="166">
        <f t="shared" si="3"/>
        <v>6.2750000000000004</v>
      </c>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ht="56.25" x14ac:dyDescent="0.2">
      <c r="A26" s="575"/>
      <c r="B26" s="206" t="s">
        <v>528</v>
      </c>
      <c r="C26" s="965" t="s">
        <v>613</v>
      </c>
      <c r="D26" s="958" t="s">
        <v>614</v>
      </c>
      <c r="E26" s="530" t="s">
        <v>615</v>
      </c>
      <c r="F26" s="207" t="s">
        <v>608</v>
      </c>
      <c r="G26" s="455"/>
      <c r="H26" s="455"/>
      <c r="I26" s="455"/>
      <c r="J26" s="455"/>
      <c r="K26" s="455"/>
      <c r="L26" s="455"/>
      <c r="M26" s="455"/>
      <c r="N26" s="455"/>
      <c r="O26" s="455"/>
      <c r="P26" s="455"/>
      <c r="Q26" s="455"/>
      <c r="R26" s="455"/>
      <c r="S26" s="455"/>
      <c r="T26" s="455"/>
      <c r="U26" s="455"/>
      <c r="V26" s="455"/>
      <c r="W26" s="455"/>
      <c r="X26" s="455"/>
      <c r="Y26" s="455"/>
      <c r="Z26" s="455"/>
      <c r="AA26" s="164">
        <v>21.07</v>
      </c>
      <c r="AB26" s="596" t="s">
        <v>38</v>
      </c>
      <c r="AC26" s="165">
        <f>'Ribassi PE'!$K$8</f>
        <v>7.0000000000000007E-2</v>
      </c>
      <c r="AD26" s="166">
        <f t="shared" si="2"/>
        <v>19.594999999999999</v>
      </c>
      <c r="AE26" s="165">
        <f>'Ribassi PE'!$M$8</f>
        <v>0.55000000000000004</v>
      </c>
      <c r="AF26" s="166">
        <f t="shared" si="3"/>
        <v>9.4819999999999993</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ht="45" x14ac:dyDescent="0.2">
      <c r="A27" s="575"/>
      <c r="B27" s="206" t="s">
        <v>529</v>
      </c>
      <c r="C27" s="965"/>
      <c r="D27" s="958"/>
      <c r="E27" s="530" t="s">
        <v>616</v>
      </c>
      <c r="F27" s="207" t="s">
        <v>608</v>
      </c>
      <c r="G27" s="455"/>
      <c r="H27" s="455"/>
      <c r="I27" s="455"/>
      <c r="J27" s="455"/>
      <c r="K27" s="455"/>
      <c r="L27" s="455"/>
      <c r="M27" s="455"/>
      <c r="N27" s="455"/>
      <c r="O27" s="455"/>
      <c r="P27" s="455"/>
      <c r="Q27" s="455"/>
      <c r="R27" s="455"/>
      <c r="S27" s="455"/>
      <c r="T27" s="455"/>
      <c r="U27" s="455"/>
      <c r="V27" s="455"/>
      <c r="W27" s="455"/>
      <c r="X27" s="455"/>
      <c r="Y27" s="455"/>
      <c r="Z27" s="455"/>
      <c r="AA27" s="164">
        <v>11.653</v>
      </c>
      <c r="AB27" s="596" t="s">
        <v>38</v>
      </c>
      <c r="AC27" s="165">
        <f>'Ribassi PE'!$K$8</f>
        <v>7.0000000000000007E-2</v>
      </c>
      <c r="AD27" s="166">
        <f t="shared" si="2"/>
        <v>10.837</v>
      </c>
      <c r="AE27" s="165">
        <f>'Ribassi PE'!$M$8</f>
        <v>0.55000000000000004</v>
      </c>
      <c r="AF27" s="166">
        <f t="shared" si="3"/>
        <v>5.2439999999999998</v>
      </c>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ht="56.25" x14ac:dyDescent="0.2">
      <c r="A28" s="575"/>
      <c r="B28" s="206" t="s">
        <v>530</v>
      </c>
      <c r="C28" s="965" t="s">
        <v>617</v>
      </c>
      <c r="D28" s="958" t="s">
        <v>614</v>
      </c>
      <c r="E28" s="530" t="s">
        <v>618</v>
      </c>
      <c r="F28" s="207" t="s">
        <v>608</v>
      </c>
      <c r="G28" s="455"/>
      <c r="H28" s="455"/>
      <c r="I28" s="455"/>
      <c r="J28" s="455"/>
      <c r="K28" s="455"/>
      <c r="L28" s="455"/>
      <c r="M28" s="455"/>
      <c r="N28" s="455"/>
      <c r="O28" s="455"/>
      <c r="P28" s="455"/>
      <c r="Q28" s="455"/>
      <c r="R28" s="455"/>
      <c r="S28" s="455"/>
      <c r="T28" s="455"/>
      <c r="U28" s="455"/>
      <c r="V28" s="455"/>
      <c r="W28" s="455"/>
      <c r="X28" s="455"/>
      <c r="Y28" s="455"/>
      <c r="Z28" s="455"/>
      <c r="AA28" s="134">
        <v>25.283999999999999</v>
      </c>
      <c r="AB28" s="596" t="s">
        <v>38</v>
      </c>
      <c r="AC28" s="167">
        <f>'Ribassi PE'!$K$8</f>
        <v>7.0000000000000007E-2</v>
      </c>
      <c r="AD28" s="168">
        <f t="shared" si="2"/>
        <v>23.513999999999999</v>
      </c>
      <c r="AE28" s="167">
        <f>'Ribassi PE'!$M$8</f>
        <v>0.55000000000000004</v>
      </c>
      <c r="AF28" s="168">
        <f t="shared" si="3"/>
        <v>11.378</v>
      </c>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ht="45" x14ac:dyDescent="0.2">
      <c r="A29" s="575"/>
      <c r="B29" s="206" t="s">
        <v>531</v>
      </c>
      <c r="C29" s="965"/>
      <c r="D29" s="958"/>
      <c r="E29" s="530" t="s">
        <v>619</v>
      </c>
      <c r="F29" s="207" t="s">
        <v>608</v>
      </c>
      <c r="G29" s="455"/>
      <c r="H29" s="455"/>
      <c r="I29" s="455"/>
      <c r="J29" s="455"/>
      <c r="K29" s="455"/>
      <c r="L29" s="455"/>
      <c r="M29" s="455"/>
      <c r="N29" s="455"/>
      <c r="O29" s="455"/>
      <c r="P29" s="455"/>
      <c r="Q29" s="455"/>
      <c r="R29" s="455"/>
      <c r="S29" s="455"/>
      <c r="T29" s="455"/>
      <c r="U29" s="455"/>
      <c r="V29" s="455"/>
      <c r="W29" s="455"/>
      <c r="X29" s="455"/>
      <c r="Y29" s="455"/>
      <c r="Z29" s="455"/>
      <c r="AA29" s="134">
        <v>13.984</v>
      </c>
      <c r="AB29" s="596" t="s">
        <v>38</v>
      </c>
      <c r="AC29" s="165">
        <f>'Ribassi PE'!$K$8</f>
        <v>7.0000000000000007E-2</v>
      </c>
      <c r="AD29" s="169">
        <f t="shared" si="2"/>
        <v>13.005000000000001</v>
      </c>
      <c r="AE29" s="165">
        <f>'Ribassi PE'!$M$8</f>
        <v>0.55000000000000004</v>
      </c>
      <c r="AF29" s="169">
        <f t="shared" si="3"/>
        <v>6.2930000000000001</v>
      </c>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ht="56.25" x14ac:dyDescent="0.2">
      <c r="A30" s="575"/>
      <c r="B30" s="206" t="s">
        <v>532</v>
      </c>
      <c r="C30" s="965" t="s">
        <v>620</v>
      </c>
      <c r="D30" s="958" t="s">
        <v>621</v>
      </c>
      <c r="E30" s="530" t="s">
        <v>622</v>
      </c>
      <c r="F30" s="207" t="s">
        <v>608</v>
      </c>
      <c r="G30" s="455"/>
      <c r="H30" s="455"/>
      <c r="I30" s="455"/>
      <c r="J30" s="455"/>
      <c r="K30" s="455"/>
      <c r="L30" s="455"/>
      <c r="M30" s="455"/>
      <c r="N30" s="455"/>
      <c r="O30" s="455"/>
      <c r="P30" s="455"/>
      <c r="Q30" s="455"/>
      <c r="R30" s="455"/>
      <c r="S30" s="455"/>
      <c r="T30" s="455"/>
      <c r="U30" s="455"/>
      <c r="V30" s="455"/>
      <c r="W30" s="455"/>
      <c r="X30" s="455"/>
      <c r="Y30" s="455"/>
      <c r="Z30" s="455"/>
      <c r="AA30" s="134">
        <v>21.757000000000001</v>
      </c>
      <c r="AB30" s="596" t="s">
        <v>38</v>
      </c>
      <c r="AC30" s="135">
        <f>'Ribassi PE'!$K$8</f>
        <v>7.0000000000000007E-2</v>
      </c>
      <c r="AD30" s="136">
        <f t="shared" si="2"/>
        <v>20.234000000000002</v>
      </c>
      <c r="AE30" s="135">
        <f>'Ribassi PE'!$M$8</f>
        <v>0.55000000000000004</v>
      </c>
      <c r="AF30" s="136">
        <f t="shared" si="3"/>
        <v>9.7910000000000004</v>
      </c>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ht="45" x14ac:dyDescent="0.2">
      <c r="A31" s="575"/>
      <c r="B31" s="206" t="s">
        <v>533</v>
      </c>
      <c r="C31" s="965"/>
      <c r="D31" s="958"/>
      <c r="E31" s="530" t="s">
        <v>623</v>
      </c>
      <c r="F31" s="207" t="s">
        <v>608</v>
      </c>
      <c r="G31" s="455"/>
      <c r="H31" s="455"/>
      <c r="I31" s="455"/>
      <c r="J31" s="455"/>
      <c r="K31" s="455"/>
      <c r="L31" s="455"/>
      <c r="M31" s="455"/>
      <c r="N31" s="455"/>
      <c r="O31" s="455"/>
      <c r="P31" s="455"/>
      <c r="Q31" s="455"/>
      <c r="R31" s="455"/>
      <c r="S31" s="455"/>
      <c r="T31" s="455"/>
      <c r="U31" s="455"/>
      <c r="V31" s="455"/>
      <c r="W31" s="455"/>
      <c r="X31" s="455"/>
      <c r="Y31" s="455"/>
      <c r="Z31" s="455"/>
      <c r="AA31" s="164">
        <v>12.34</v>
      </c>
      <c r="AB31" s="596" t="s">
        <v>38</v>
      </c>
      <c r="AC31" s="165">
        <f>'Ribassi PE'!$K$8</f>
        <v>7.0000000000000007E-2</v>
      </c>
      <c r="AD31" s="166">
        <f t="shared" si="2"/>
        <v>11.476000000000001</v>
      </c>
      <c r="AE31" s="165">
        <f>'Ribassi PE'!$M$8</f>
        <v>0.55000000000000004</v>
      </c>
      <c r="AF31" s="166">
        <f t="shared" si="3"/>
        <v>5.5529999999999999</v>
      </c>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ht="56.25" x14ac:dyDescent="0.2">
      <c r="A32" s="575"/>
      <c r="B32" s="206" t="s">
        <v>534</v>
      </c>
      <c r="C32" s="965" t="s">
        <v>624</v>
      </c>
      <c r="D32" s="958" t="s">
        <v>621</v>
      </c>
      <c r="E32" s="530" t="s">
        <v>625</v>
      </c>
      <c r="F32" s="207" t="s">
        <v>608</v>
      </c>
      <c r="G32" s="455"/>
      <c r="H32" s="455"/>
      <c r="I32" s="455"/>
      <c r="J32" s="455"/>
      <c r="K32" s="455"/>
      <c r="L32" s="455"/>
      <c r="M32" s="455"/>
      <c r="N32" s="455"/>
      <c r="O32" s="455"/>
      <c r="P32" s="455"/>
      <c r="Q32" s="455"/>
      <c r="R32" s="455"/>
      <c r="S32" s="455"/>
      <c r="T32" s="455"/>
      <c r="U32" s="455"/>
      <c r="V32" s="455"/>
      <c r="W32" s="455"/>
      <c r="X32" s="455"/>
      <c r="Y32" s="455"/>
      <c r="Z32" s="455"/>
      <c r="AA32" s="164">
        <v>26.108000000000001</v>
      </c>
      <c r="AB32" s="596" t="s">
        <v>38</v>
      </c>
      <c r="AC32" s="165">
        <f>'Ribassi PE'!$K$8</f>
        <v>7.0000000000000007E-2</v>
      </c>
      <c r="AD32" s="166">
        <f t="shared" si="2"/>
        <v>24.28</v>
      </c>
      <c r="AE32" s="165">
        <f>'Ribassi PE'!$M$8</f>
        <v>0.55000000000000004</v>
      </c>
      <c r="AF32" s="166">
        <f t="shared" si="3"/>
        <v>11.749000000000001</v>
      </c>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ht="45" x14ac:dyDescent="0.2">
      <c r="A33" s="575"/>
      <c r="B33" s="206" t="s">
        <v>535</v>
      </c>
      <c r="C33" s="965"/>
      <c r="D33" s="958"/>
      <c r="E33" s="530" t="s">
        <v>626</v>
      </c>
      <c r="F33" s="207" t="s">
        <v>608</v>
      </c>
      <c r="G33" s="455"/>
      <c r="H33" s="455"/>
      <c r="I33" s="455"/>
      <c r="J33" s="455"/>
      <c r="K33" s="455"/>
      <c r="L33" s="455"/>
      <c r="M33" s="455"/>
      <c r="N33" s="455"/>
      <c r="O33" s="455"/>
      <c r="P33" s="455"/>
      <c r="Q33" s="455"/>
      <c r="R33" s="455"/>
      <c r="S33" s="455"/>
      <c r="T33" s="455"/>
      <c r="U33" s="455"/>
      <c r="V33" s="455"/>
      <c r="W33" s="455"/>
      <c r="X33" s="455"/>
      <c r="Y33" s="455"/>
      <c r="Z33" s="455"/>
      <c r="AA33" s="134">
        <v>14.808</v>
      </c>
      <c r="AB33" s="596" t="s">
        <v>38</v>
      </c>
      <c r="AC33" s="135">
        <f>'Ribassi PE'!$K$8</f>
        <v>7.0000000000000007E-2</v>
      </c>
      <c r="AD33" s="136">
        <f t="shared" si="2"/>
        <v>13.771000000000001</v>
      </c>
      <c r="AE33" s="135">
        <f>'Ribassi PE'!$M$8</f>
        <v>0.55000000000000004</v>
      </c>
      <c r="AF33" s="136">
        <f t="shared" si="3"/>
        <v>6.6639999999999997</v>
      </c>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ht="56.25" x14ac:dyDescent="0.2">
      <c r="A34" s="575"/>
      <c r="B34" s="206" t="s">
        <v>536</v>
      </c>
      <c r="C34" s="536" t="s">
        <v>627</v>
      </c>
      <c r="D34" s="529" t="s">
        <v>628</v>
      </c>
      <c r="E34" s="530" t="s">
        <v>629</v>
      </c>
      <c r="F34" s="207" t="s">
        <v>463</v>
      </c>
      <c r="G34" s="455"/>
      <c r="H34" s="455"/>
      <c r="I34" s="455"/>
      <c r="J34" s="455"/>
      <c r="K34" s="455"/>
      <c r="L34" s="455"/>
      <c r="M34" s="455"/>
      <c r="N34" s="455"/>
      <c r="O34" s="455"/>
      <c r="P34" s="455"/>
      <c r="Q34" s="455"/>
      <c r="R34" s="455"/>
      <c r="S34" s="455"/>
      <c r="T34" s="455"/>
      <c r="U34" s="455"/>
      <c r="V34" s="455"/>
      <c r="W34" s="455"/>
      <c r="X34" s="455"/>
      <c r="Y34" s="455"/>
      <c r="Z34" s="455"/>
      <c r="AA34" s="164">
        <v>201.352</v>
      </c>
      <c r="AB34" s="596" t="s">
        <v>38</v>
      </c>
      <c r="AC34" s="165">
        <f>'Ribassi PE'!$K$8</f>
        <v>7.0000000000000007E-2</v>
      </c>
      <c r="AD34" s="166">
        <f t="shared" si="2"/>
        <v>187.25700000000001</v>
      </c>
      <c r="AE34" s="165">
        <f>'Ribassi PE'!$M$8</f>
        <v>0.55000000000000004</v>
      </c>
      <c r="AF34" s="166">
        <f t="shared" si="3"/>
        <v>90.608000000000004</v>
      </c>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ht="45" x14ac:dyDescent="0.2">
      <c r="A35" s="575"/>
      <c r="B35" s="206" t="s">
        <v>537</v>
      </c>
      <c r="C35" s="536" t="s">
        <v>630</v>
      </c>
      <c r="D35" s="529" t="s">
        <v>631</v>
      </c>
      <c r="E35" s="530" t="s">
        <v>632</v>
      </c>
      <c r="F35" s="207" t="s">
        <v>633</v>
      </c>
      <c r="G35" s="455"/>
      <c r="H35" s="455"/>
      <c r="I35" s="455"/>
      <c r="J35" s="455"/>
      <c r="K35" s="455"/>
      <c r="L35" s="455"/>
      <c r="M35" s="455"/>
      <c r="N35" s="455"/>
      <c r="O35" s="455"/>
      <c r="P35" s="455"/>
      <c r="Q35" s="455"/>
      <c r="R35" s="455"/>
      <c r="S35" s="455"/>
      <c r="T35" s="455"/>
      <c r="U35" s="455"/>
      <c r="V35" s="455"/>
      <c r="W35" s="455"/>
      <c r="X35" s="455"/>
      <c r="Y35" s="455"/>
      <c r="Z35" s="455"/>
      <c r="AA35" s="134">
        <v>19.72</v>
      </c>
      <c r="AB35" s="596" t="s">
        <v>38</v>
      </c>
      <c r="AC35" s="135">
        <f>'Ribassi PE'!$K$8</f>
        <v>7.0000000000000007E-2</v>
      </c>
      <c r="AD35" s="136">
        <f t="shared" si="2"/>
        <v>18.34</v>
      </c>
      <c r="AE35" s="135">
        <f>'Ribassi PE'!$M$8</f>
        <v>0.55000000000000004</v>
      </c>
      <c r="AF35" s="136">
        <f t="shared" si="3"/>
        <v>8.8740000000000006</v>
      </c>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ht="33.75" x14ac:dyDescent="0.2">
      <c r="A36" s="575"/>
      <c r="B36" s="206" t="s">
        <v>538</v>
      </c>
      <c r="C36" s="536" t="s">
        <v>634</v>
      </c>
      <c r="D36" s="529" t="s">
        <v>635</v>
      </c>
      <c r="E36" s="530" t="s">
        <v>636</v>
      </c>
      <c r="F36" s="207" t="s">
        <v>633</v>
      </c>
      <c r="G36" s="455"/>
      <c r="H36" s="455"/>
      <c r="I36" s="455"/>
      <c r="J36" s="455"/>
      <c r="K36" s="455"/>
      <c r="L36" s="455"/>
      <c r="M36" s="455"/>
      <c r="N36" s="455"/>
      <c r="O36" s="455"/>
      <c r="P36" s="455"/>
      <c r="Q36" s="455"/>
      <c r="R36" s="455"/>
      <c r="S36" s="455"/>
      <c r="T36" s="455"/>
      <c r="U36" s="455"/>
      <c r="V36" s="455"/>
      <c r="W36" s="455"/>
      <c r="X36" s="455"/>
      <c r="Y36" s="455"/>
      <c r="Z36" s="455"/>
      <c r="AA36" s="164">
        <v>23.872</v>
      </c>
      <c r="AB36" s="596" t="s">
        <v>38</v>
      </c>
      <c r="AC36" s="165">
        <f>'Ribassi PE'!$K$8</f>
        <v>7.0000000000000007E-2</v>
      </c>
      <c r="AD36" s="166">
        <f t="shared" si="0"/>
        <v>22.201000000000001</v>
      </c>
      <c r="AE36" s="165">
        <f>'Ribassi PE'!$M$8</f>
        <v>0.55000000000000004</v>
      </c>
      <c r="AF36" s="166">
        <f t="shared" si="1"/>
        <v>10.742000000000001</v>
      </c>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ht="67.5" x14ac:dyDescent="0.2">
      <c r="A37" s="575"/>
      <c r="B37" s="206" t="s">
        <v>539</v>
      </c>
      <c r="C37" s="536" t="s">
        <v>637</v>
      </c>
      <c r="D37" s="529" t="s">
        <v>638</v>
      </c>
      <c r="E37" s="530" t="s">
        <v>639</v>
      </c>
      <c r="F37" s="207" t="s">
        <v>268</v>
      </c>
      <c r="G37" s="455"/>
      <c r="H37" s="455"/>
      <c r="I37" s="455"/>
      <c r="J37" s="455"/>
      <c r="K37" s="455"/>
      <c r="L37" s="455"/>
      <c r="M37" s="455"/>
      <c r="N37" s="455"/>
      <c r="O37" s="455"/>
      <c r="P37" s="455"/>
      <c r="Q37" s="455"/>
      <c r="R37" s="455"/>
      <c r="S37" s="455"/>
      <c r="T37" s="455"/>
      <c r="U37" s="455"/>
      <c r="V37" s="455"/>
      <c r="W37" s="455"/>
      <c r="X37" s="455"/>
      <c r="Y37" s="455"/>
      <c r="Z37" s="455"/>
      <c r="AA37" s="134">
        <v>0.156</v>
      </c>
      <c r="AB37" s="596" t="s">
        <v>38</v>
      </c>
      <c r="AC37" s="135">
        <f>'Ribassi PE'!$K$8</f>
        <v>7.0000000000000007E-2</v>
      </c>
      <c r="AD37" s="136">
        <f t="shared" si="0"/>
        <v>0.14499999999999999</v>
      </c>
      <c r="AE37" s="135">
        <f>'Ribassi PE'!$M$8</f>
        <v>0.55000000000000004</v>
      </c>
      <c r="AF37" s="136">
        <f t="shared" si="1"/>
        <v>7.0000000000000007E-2</v>
      </c>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ht="135" x14ac:dyDescent="0.2">
      <c r="A38" s="575"/>
      <c r="B38" s="206" t="s">
        <v>540</v>
      </c>
      <c r="C38" s="536" t="s">
        <v>640</v>
      </c>
      <c r="D38" s="529" t="s">
        <v>641</v>
      </c>
      <c r="E38" s="530" t="s">
        <v>642</v>
      </c>
      <c r="F38" s="207" t="s">
        <v>643</v>
      </c>
      <c r="G38" s="455"/>
      <c r="H38" s="455"/>
      <c r="I38" s="455"/>
      <c r="J38" s="455"/>
      <c r="K38" s="455"/>
      <c r="L38" s="455"/>
      <c r="M38" s="455"/>
      <c r="N38" s="455"/>
      <c r="O38" s="455"/>
      <c r="P38" s="455"/>
      <c r="Q38" s="455"/>
      <c r="R38" s="455"/>
      <c r="S38" s="455"/>
      <c r="T38" s="455"/>
      <c r="U38" s="455"/>
      <c r="V38" s="455"/>
      <c r="W38" s="455"/>
      <c r="X38" s="455"/>
      <c r="Y38" s="455"/>
      <c r="Z38" s="455"/>
      <c r="AA38" s="134">
        <v>81.692999999999998</v>
      </c>
      <c r="AB38" s="596" t="s">
        <v>38</v>
      </c>
      <c r="AC38" s="135">
        <f>'Ribassi PE'!$K$8</f>
        <v>7.0000000000000007E-2</v>
      </c>
      <c r="AD38" s="136">
        <f t="shared" si="0"/>
        <v>75.974000000000004</v>
      </c>
      <c r="AE38" s="135">
        <f>'Ribassi PE'!$M$8</f>
        <v>0.55000000000000004</v>
      </c>
      <c r="AF38" s="136">
        <f t="shared" si="1"/>
        <v>36.762</v>
      </c>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ht="33.75" x14ac:dyDescent="0.2">
      <c r="A39" s="575"/>
      <c r="B39" s="206" t="s">
        <v>541</v>
      </c>
      <c r="C39" s="536" t="s">
        <v>644</v>
      </c>
      <c r="D39" s="529" t="s">
        <v>645</v>
      </c>
      <c r="E39" s="530" t="s">
        <v>646</v>
      </c>
      <c r="F39" s="207" t="s">
        <v>647</v>
      </c>
      <c r="G39" s="455"/>
      <c r="H39" s="455"/>
      <c r="I39" s="455"/>
      <c r="J39" s="455"/>
      <c r="K39" s="455"/>
      <c r="L39" s="455"/>
      <c r="M39" s="455"/>
      <c r="N39" s="455"/>
      <c r="O39" s="455"/>
      <c r="P39" s="455"/>
      <c r="Q39" s="455"/>
      <c r="R39" s="455"/>
      <c r="S39" s="455"/>
      <c r="T39" s="455"/>
      <c r="U39" s="455"/>
      <c r="V39" s="455"/>
      <c r="W39" s="455"/>
      <c r="X39" s="455"/>
      <c r="Y39" s="455"/>
      <c r="Z39" s="455"/>
      <c r="AA39" s="164">
        <v>66.426000000000002</v>
      </c>
      <c r="AB39" s="596" t="s">
        <v>38</v>
      </c>
      <c r="AC39" s="165">
        <f>'Ribassi PE'!$K$8</f>
        <v>7.0000000000000007E-2</v>
      </c>
      <c r="AD39" s="166">
        <f t="shared" si="0"/>
        <v>61.776000000000003</v>
      </c>
      <c r="AE39" s="165">
        <f>'Ribassi PE'!$M$8</f>
        <v>0.55000000000000004</v>
      </c>
      <c r="AF39" s="166">
        <f t="shared" si="1"/>
        <v>29.891999999999999</v>
      </c>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ht="33.75" x14ac:dyDescent="0.2">
      <c r="A40" s="575"/>
      <c r="B40" s="206" t="s">
        <v>542</v>
      </c>
      <c r="C40" s="536" t="s">
        <v>648</v>
      </c>
      <c r="D40" s="529" t="s">
        <v>649</v>
      </c>
      <c r="E40" s="530" t="s">
        <v>650</v>
      </c>
      <c r="F40" s="207" t="s">
        <v>651</v>
      </c>
      <c r="G40" s="455"/>
      <c r="H40" s="455"/>
      <c r="I40" s="455"/>
      <c r="J40" s="455"/>
      <c r="K40" s="455"/>
      <c r="L40" s="455"/>
      <c r="M40" s="455"/>
      <c r="N40" s="455"/>
      <c r="O40" s="455"/>
      <c r="P40" s="455"/>
      <c r="Q40" s="455"/>
      <c r="R40" s="455"/>
      <c r="S40" s="455"/>
      <c r="T40" s="455"/>
      <c r="U40" s="455"/>
      <c r="V40" s="455"/>
      <c r="W40" s="455"/>
      <c r="X40" s="455"/>
      <c r="Y40" s="455"/>
      <c r="Z40" s="455"/>
      <c r="AA40" s="164">
        <v>134.92699999999999</v>
      </c>
      <c r="AB40" s="596" t="s">
        <v>38</v>
      </c>
      <c r="AC40" s="165">
        <f>'Ribassi PE'!$K$8</f>
        <v>7.0000000000000007E-2</v>
      </c>
      <c r="AD40" s="166">
        <f t="shared" si="0"/>
        <v>125.482</v>
      </c>
      <c r="AE40" s="165">
        <f>'Ribassi PE'!$M$8</f>
        <v>0.55000000000000004</v>
      </c>
      <c r="AF40" s="166">
        <f t="shared" si="1"/>
        <v>60.716999999999999</v>
      </c>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ht="56.25" x14ac:dyDescent="0.2">
      <c r="A41" s="575"/>
      <c r="B41" s="206" t="s">
        <v>543</v>
      </c>
      <c r="C41" s="965" t="s">
        <v>652</v>
      </c>
      <c r="D41" s="958" t="s">
        <v>653</v>
      </c>
      <c r="E41" s="530" t="s">
        <v>654</v>
      </c>
      <c r="F41" s="207" t="s">
        <v>410</v>
      </c>
      <c r="G41" s="455"/>
      <c r="H41" s="455"/>
      <c r="I41" s="455"/>
      <c r="J41" s="455"/>
      <c r="K41" s="455"/>
      <c r="L41" s="455"/>
      <c r="M41" s="455"/>
      <c r="N41" s="455"/>
      <c r="O41" s="455"/>
      <c r="P41" s="455"/>
      <c r="Q41" s="455"/>
      <c r="R41" s="455"/>
      <c r="S41" s="455"/>
      <c r="T41" s="455"/>
      <c r="U41" s="455"/>
      <c r="V41" s="455"/>
      <c r="W41" s="455"/>
      <c r="X41" s="455"/>
      <c r="Y41" s="455"/>
      <c r="Z41" s="455"/>
      <c r="AA41" s="164">
        <v>60.198</v>
      </c>
      <c r="AB41" s="596" t="s">
        <v>38</v>
      </c>
      <c r="AC41" s="165">
        <f>'Ribassi PE'!$K$8</f>
        <v>7.0000000000000007E-2</v>
      </c>
      <c r="AD41" s="166">
        <f t="shared" si="0"/>
        <v>55.984000000000002</v>
      </c>
      <c r="AE41" s="165">
        <f>'Ribassi PE'!$M$8</f>
        <v>0.55000000000000004</v>
      </c>
      <c r="AF41" s="166">
        <f t="shared" si="1"/>
        <v>27.088999999999999</v>
      </c>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ht="45" x14ac:dyDescent="0.2">
      <c r="A42" s="575"/>
      <c r="B42" s="206" t="s">
        <v>544</v>
      </c>
      <c r="C42" s="965"/>
      <c r="D42" s="958"/>
      <c r="E42" s="530" t="s">
        <v>655</v>
      </c>
      <c r="F42" s="207" t="s">
        <v>410</v>
      </c>
      <c r="G42" s="455"/>
      <c r="H42" s="455"/>
      <c r="I42" s="455"/>
      <c r="J42" s="455"/>
      <c r="K42" s="455"/>
      <c r="L42" s="455"/>
      <c r="M42" s="455"/>
      <c r="N42" s="455"/>
      <c r="O42" s="455"/>
      <c r="P42" s="455"/>
      <c r="Q42" s="455"/>
      <c r="R42" s="455"/>
      <c r="S42" s="455"/>
      <c r="T42" s="455"/>
      <c r="U42" s="455"/>
      <c r="V42" s="455"/>
      <c r="W42" s="455"/>
      <c r="X42" s="455"/>
      <c r="Y42" s="455"/>
      <c r="Z42" s="455"/>
      <c r="AA42" s="134">
        <v>20.757999999999999</v>
      </c>
      <c r="AB42" s="596" t="s">
        <v>38</v>
      </c>
      <c r="AC42" s="167">
        <f>'Ribassi PE'!$K$8</f>
        <v>7.0000000000000007E-2</v>
      </c>
      <c r="AD42" s="168">
        <f t="shared" si="0"/>
        <v>19.305</v>
      </c>
      <c r="AE42" s="167">
        <f>'Ribassi PE'!$M$8</f>
        <v>0.55000000000000004</v>
      </c>
      <c r="AF42" s="168">
        <f t="shared" si="1"/>
        <v>9.3409999999999993</v>
      </c>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ht="56.25" x14ac:dyDescent="0.2">
      <c r="A43" s="575"/>
      <c r="B43" s="206" t="s">
        <v>545</v>
      </c>
      <c r="C43" s="965" t="s">
        <v>656</v>
      </c>
      <c r="D43" s="958" t="s">
        <v>657</v>
      </c>
      <c r="E43" s="530" t="s">
        <v>658</v>
      </c>
      <c r="F43" s="207" t="s">
        <v>410</v>
      </c>
      <c r="G43" s="455"/>
      <c r="H43" s="455"/>
      <c r="I43" s="455"/>
      <c r="J43" s="455"/>
      <c r="K43" s="455"/>
      <c r="L43" s="455"/>
      <c r="M43" s="455"/>
      <c r="N43" s="455"/>
      <c r="O43" s="455"/>
      <c r="P43" s="455"/>
      <c r="Q43" s="455"/>
      <c r="R43" s="455"/>
      <c r="S43" s="455"/>
      <c r="T43" s="455"/>
      <c r="U43" s="455"/>
      <c r="V43" s="455"/>
      <c r="W43" s="455"/>
      <c r="X43" s="455"/>
      <c r="Y43" s="455"/>
      <c r="Z43" s="455"/>
      <c r="AA43" s="134">
        <v>95.902000000000001</v>
      </c>
      <c r="AB43" s="596" t="s">
        <v>38</v>
      </c>
      <c r="AC43" s="165">
        <f>'Ribassi PE'!$K$8</f>
        <v>7.0000000000000007E-2</v>
      </c>
      <c r="AD43" s="169">
        <f t="shared" si="0"/>
        <v>89.188999999999993</v>
      </c>
      <c r="AE43" s="165">
        <f>'Ribassi PE'!$M$8</f>
        <v>0.55000000000000004</v>
      </c>
      <c r="AF43" s="169">
        <f t="shared" si="1"/>
        <v>43.155999999999999</v>
      </c>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ht="45" x14ac:dyDescent="0.2">
      <c r="A44" s="575"/>
      <c r="B44" s="206" t="s">
        <v>546</v>
      </c>
      <c r="C44" s="965"/>
      <c r="D44" s="958"/>
      <c r="E44" s="530" t="s">
        <v>659</v>
      </c>
      <c r="F44" s="207" t="s">
        <v>410</v>
      </c>
      <c r="G44" s="455"/>
      <c r="H44" s="455"/>
      <c r="I44" s="455"/>
      <c r="J44" s="455"/>
      <c r="K44" s="455"/>
      <c r="L44" s="455"/>
      <c r="M44" s="455"/>
      <c r="N44" s="455"/>
      <c r="O44" s="455"/>
      <c r="P44" s="455"/>
      <c r="Q44" s="455"/>
      <c r="R44" s="455"/>
      <c r="S44" s="455"/>
      <c r="T44" s="455"/>
      <c r="U44" s="455"/>
      <c r="V44" s="455"/>
      <c r="W44" s="455"/>
      <c r="X44" s="455"/>
      <c r="Y44" s="455"/>
      <c r="Z44" s="455"/>
      <c r="AA44" s="134">
        <v>38.61</v>
      </c>
      <c r="AB44" s="596" t="s">
        <v>38</v>
      </c>
      <c r="AC44" s="135">
        <f>'Ribassi PE'!$K$8</f>
        <v>7.0000000000000007E-2</v>
      </c>
      <c r="AD44" s="136">
        <f t="shared" si="0"/>
        <v>35.906999999999996</v>
      </c>
      <c r="AE44" s="135">
        <f>'Ribassi PE'!$M$8</f>
        <v>0.55000000000000004</v>
      </c>
      <c r="AF44" s="136">
        <f t="shared" si="1"/>
        <v>17.375</v>
      </c>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ht="135" x14ac:dyDescent="0.2">
      <c r="A45" s="575"/>
      <c r="B45" s="206" t="s">
        <v>547</v>
      </c>
      <c r="C45" s="536" t="s">
        <v>660</v>
      </c>
      <c r="D45" s="529" t="s">
        <v>661</v>
      </c>
      <c r="E45" s="530" t="s">
        <v>662</v>
      </c>
      <c r="F45" s="207" t="s">
        <v>268</v>
      </c>
      <c r="G45" s="455"/>
      <c r="H45" s="455"/>
      <c r="I45" s="455"/>
      <c r="J45" s="455"/>
      <c r="K45" s="455"/>
      <c r="L45" s="455"/>
      <c r="M45" s="455"/>
      <c r="N45" s="455"/>
      <c r="O45" s="455"/>
      <c r="P45" s="455"/>
      <c r="Q45" s="455"/>
      <c r="R45" s="455"/>
      <c r="S45" s="455"/>
      <c r="T45" s="455"/>
      <c r="U45" s="455"/>
      <c r="V45" s="455"/>
      <c r="W45" s="455"/>
      <c r="X45" s="455"/>
      <c r="Y45" s="455"/>
      <c r="Z45" s="455"/>
      <c r="AA45" s="164">
        <v>0.153</v>
      </c>
      <c r="AB45" s="596" t="s">
        <v>38</v>
      </c>
      <c r="AC45" s="165">
        <f>'Ribassi PE'!$K$8</f>
        <v>7.0000000000000007E-2</v>
      </c>
      <c r="AD45" s="166">
        <f t="shared" si="0"/>
        <v>0.14199999999999999</v>
      </c>
      <c r="AE45" s="165">
        <f>'Ribassi PE'!$M$8</f>
        <v>0.55000000000000004</v>
      </c>
      <c r="AF45" s="166">
        <f t="shared" si="1"/>
        <v>6.9000000000000006E-2</v>
      </c>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ht="45" x14ac:dyDescent="0.2">
      <c r="A46" s="575"/>
      <c r="B46" s="206" t="s">
        <v>548</v>
      </c>
      <c r="C46" s="536" t="s">
        <v>663</v>
      </c>
      <c r="D46" s="529" t="s">
        <v>664</v>
      </c>
      <c r="E46" s="530" t="s">
        <v>665</v>
      </c>
      <c r="F46" s="207" t="s">
        <v>268</v>
      </c>
      <c r="G46" s="455"/>
      <c r="H46" s="455"/>
      <c r="I46" s="455"/>
      <c r="J46" s="455"/>
      <c r="K46" s="455"/>
      <c r="L46" s="455"/>
      <c r="M46" s="455"/>
      <c r="N46" s="455"/>
      <c r="O46" s="455"/>
      <c r="P46" s="455"/>
      <c r="Q46" s="455"/>
      <c r="R46" s="455"/>
      <c r="S46" s="455"/>
      <c r="T46" s="455"/>
      <c r="U46" s="455"/>
      <c r="V46" s="455"/>
      <c r="W46" s="455"/>
      <c r="X46" s="455"/>
      <c r="Y46" s="455"/>
      <c r="Z46" s="455"/>
      <c r="AA46" s="164">
        <v>0.216</v>
      </c>
      <c r="AB46" s="596" t="s">
        <v>38</v>
      </c>
      <c r="AC46" s="165">
        <f>'Ribassi PE'!$K$8</f>
        <v>7.0000000000000007E-2</v>
      </c>
      <c r="AD46" s="166">
        <f t="shared" si="0"/>
        <v>0.20100000000000001</v>
      </c>
      <c r="AE46" s="165">
        <f>'Ribassi PE'!$M$8</f>
        <v>0.55000000000000004</v>
      </c>
      <c r="AF46" s="166">
        <f t="shared" si="1"/>
        <v>9.7000000000000003E-2</v>
      </c>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ht="33.75" x14ac:dyDescent="0.2">
      <c r="A47" s="575"/>
      <c r="B47" s="206" t="s">
        <v>549</v>
      </c>
      <c r="C47" s="536" t="s">
        <v>666</v>
      </c>
      <c r="D47" s="958" t="s">
        <v>667</v>
      </c>
      <c r="E47" s="530" t="s">
        <v>668</v>
      </c>
      <c r="F47" s="207" t="s">
        <v>669</v>
      </c>
      <c r="G47" s="455"/>
      <c r="H47" s="455"/>
      <c r="I47" s="455"/>
      <c r="J47" s="455"/>
      <c r="K47" s="455"/>
      <c r="L47" s="455"/>
      <c r="M47" s="455"/>
      <c r="N47" s="455"/>
      <c r="O47" s="455"/>
      <c r="P47" s="455"/>
      <c r="Q47" s="455"/>
      <c r="R47" s="455"/>
      <c r="S47" s="455"/>
      <c r="T47" s="455"/>
      <c r="U47" s="455"/>
      <c r="V47" s="455"/>
      <c r="W47" s="455"/>
      <c r="X47" s="455"/>
      <c r="Y47" s="455"/>
      <c r="Z47" s="455"/>
      <c r="AA47" s="134">
        <v>29.061</v>
      </c>
      <c r="AB47" s="596" t="s">
        <v>38</v>
      </c>
      <c r="AC47" s="135">
        <f>'Ribassi PE'!$K$8</f>
        <v>7.0000000000000007E-2</v>
      </c>
      <c r="AD47" s="136">
        <f t="shared" si="0"/>
        <v>27.027000000000001</v>
      </c>
      <c r="AE47" s="135">
        <f>'Ribassi PE'!$M$8</f>
        <v>0.55000000000000004</v>
      </c>
      <c r="AF47" s="136">
        <f t="shared" si="1"/>
        <v>13.077</v>
      </c>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ht="33.75" x14ac:dyDescent="0.2">
      <c r="A48" s="575"/>
      <c r="B48" s="206" t="s">
        <v>550</v>
      </c>
      <c r="C48" s="536" t="s">
        <v>670</v>
      </c>
      <c r="D48" s="958"/>
      <c r="E48" s="530" t="s">
        <v>671</v>
      </c>
      <c r="F48" s="207" t="s">
        <v>669</v>
      </c>
      <c r="G48" s="455"/>
      <c r="H48" s="455"/>
      <c r="I48" s="455"/>
      <c r="J48" s="455"/>
      <c r="K48" s="455"/>
      <c r="L48" s="455"/>
      <c r="M48" s="455"/>
      <c r="N48" s="455"/>
      <c r="O48" s="455"/>
      <c r="P48" s="455"/>
      <c r="Q48" s="455"/>
      <c r="R48" s="455"/>
      <c r="S48" s="455"/>
      <c r="T48" s="455"/>
      <c r="U48" s="455"/>
      <c r="V48" s="455"/>
      <c r="W48" s="455"/>
      <c r="X48" s="455"/>
      <c r="Y48" s="455"/>
      <c r="Z48" s="455"/>
      <c r="AA48" s="164">
        <v>65.986000000000004</v>
      </c>
      <c r="AB48" s="596" t="s">
        <v>38</v>
      </c>
      <c r="AC48" s="165">
        <f>'Ribassi PE'!$K$8</f>
        <v>7.0000000000000007E-2</v>
      </c>
      <c r="AD48" s="166">
        <f t="shared" si="0"/>
        <v>61.366999999999997</v>
      </c>
      <c r="AE48" s="165">
        <f>'Ribassi PE'!$M$8</f>
        <v>0.55000000000000004</v>
      </c>
      <c r="AF48" s="166">
        <f t="shared" si="1"/>
        <v>29.693999999999999</v>
      </c>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ht="34.5" thickBot="1" x14ac:dyDescent="0.25">
      <c r="A49" s="575"/>
      <c r="B49" s="208" t="s">
        <v>551</v>
      </c>
      <c r="C49" s="209" t="s">
        <v>672</v>
      </c>
      <c r="D49" s="961"/>
      <c r="E49" s="210" t="s">
        <v>673</v>
      </c>
      <c r="F49" s="211" t="s">
        <v>669</v>
      </c>
      <c r="G49" s="456"/>
      <c r="H49" s="456"/>
      <c r="I49" s="456"/>
      <c r="J49" s="456"/>
      <c r="K49" s="456"/>
      <c r="L49" s="456"/>
      <c r="M49" s="456"/>
      <c r="N49" s="456"/>
      <c r="O49" s="456"/>
      <c r="P49" s="456"/>
      <c r="Q49" s="456"/>
      <c r="R49" s="456"/>
      <c r="S49" s="456"/>
      <c r="T49" s="456"/>
      <c r="U49" s="456"/>
      <c r="V49" s="456"/>
      <c r="W49" s="456"/>
      <c r="X49" s="456"/>
      <c r="Y49" s="456"/>
      <c r="Z49" s="456"/>
      <c r="AA49" s="137">
        <v>121.69</v>
      </c>
      <c r="AB49" s="596" t="s">
        <v>38</v>
      </c>
      <c r="AC49" s="138">
        <f>'Ribassi PE'!$K$8</f>
        <v>7.0000000000000007E-2</v>
      </c>
      <c r="AD49" s="139">
        <f t="shared" si="0"/>
        <v>113.172</v>
      </c>
      <c r="AE49" s="138">
        <f>'Ribassi PE'!$M$8</f>
        <v>0.55000000000000004</v>
      </c>
      <c r="AF49" s="139">
        <f t="shared" si="1"/>
        <v>54.761000000000003</v>
      </c>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ht="67.5" x14ac:dyDescent="0.2">
      <c r="A50" s="575"/>
      <c r="B50" s="203" t="s">
        <v>552</v>
      </c>
      <c r="C50" s="537" t="s">
        <v>674</v>
      </c>
      <c r="D50" s="531" t="s">
        <v>675</v>
      </c>
      <c r="E50" s="204" t="s">
        <v>676</v>
      </c>
      <c r="F50" s="205" t="s">
        <v>1181</v>
      </c>
      <c r="G50" s="461"/>
      <c r="H50" s="461"/>
      <c r="I50" s="461"/>
      <c r="J50" s="461"/>
      <c r="K50" s="461"/>
      <c r="L50" s="461"/>
      <c r="M50" s="461"/>
      <c r="N50" s="461"/>
      <c r="O50" s="461"/>
      <c r="P50" s="461"/>
      <c r="Q50" s="461"/>
      <c r="R50" s="461"/>
      <c r="S50" s="461"/>
      <c r="T50" s="461"/>
      <c r="U50" s="461"/>
      <c r="V50" s="461"/>
      <c r="W50" s="461"/>
      <c r="X50" s="461"/>
      <c r="Y50" s="461"/>
      <c r="Z50" s="461"/>
      <c r="AA50" s="253">
        <v>9.9760000000000009</v>
      </c>
      <c r="AB50" s="596" t="s">
        <v>38</v>
      </c>
      <c r="AC50" s="212">
        <f>'Ribassi PE'!$K$8</f>
        <v>7.0000000000000007E-2</v>
      </c>
      <c r="AD50" s="254">
        <f t="shared" ref="AD50:AD63" si="4">ROUND(AA50*(1-AC50),3)</f>
        <v>9.2780000000000005</v>
      </c>
      <c r="AE50" s="212">
        <f>'Ribassi PE'!$M$8</f>
        <v>0.55000000000000004</v>
      </c>
      <c r="AF50" s="254">
        <f t="shared" ref="AF50:AF63" si="5">ROUND(AA50*(1-AE50),3)</f>
        <v>4.4889999999999999</v>
      </c>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ht="56.25" x14ac:dyDescent="0.2">
      <c r="A51" s="575"/>
      <c r="B51" s="206" t="s">
        <v>553</v>
      </c>
      <c r="C51" s="536" t="s">
        <v>677</v>
      </c>
      <c r="D51" s="529" t="s">
        <v>678</v>
      </c>
      <c r="E51" s="530" t="s">
        <v>679</v>
      </c>
      <c r="F51" s="207" t="s">
        <v>1182</v>
      </c>
      <c r="G51" s="455"/>
      <c r="H51" s="455"/>
      <c r="I51" s="455"/>
      <c r="J51" s="455"/>
      <c r="K51" s="455"/>
      <c r="L51" s="455"/>
      <c r="M51" s="455"/>
      <c r="N51" s="455"/>
      <c r="O51" s="455"/>
      <c r="P51" s="455"/>
      <c r="Q51" s="455"/>
      <c r="R51" s="455"/>
      <c r="S51" s="455"/>
      <c r="T51" s="455"/>
      <c r="U51" s="455"/>
      <c r="V51" s="455"/>
      <c r="W51" s="455"/>
      <c r="X51" s="455"/>
      <c r="Y51" s="455"/>
      <c r="Z51" s="455"/>
      <c r="AA51" s="134">
        <v>803.44500000000005</v>
      </c>
      <c r="AB51" s="596" t="s">
        <v>38</v>
      </c>
      <c r="AC51" s="135">
        <f>'Ribassi PE'!$K$8</f>
        <v>7.0000000000000007E-2</v>
      </c>
      <c r="AD51" s="136">
        <f t="shared" si="4"/>
        <v>747.20399999999995</v>
      </c>
      <c r="AE51" s="135">
        <f>'Ribassi PE'!$M$8</f>
        <v>0.55000000000000004</v>
      </c>
      <c r="AF51" s="136">
        <f t="shared" si="5"/>
        <v>361.55</v>
      </c>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ht="45" x14ac:dyDescent="0.2">
      <c r="A52" s="575"/>
      <c r="B52" s="206" t="s">
        <v>554</v>
      </c>
      <c r="C52" s="536" t="s">
        <v>680</v>
      </c>
      <c r="D52" s="529" t="s">
        <v>681</v>
      </c>
      <c r="E52" s="530" t="s">
        <v>682</v>
      </c>
      <c r="F52" s="207" t="s">
        <v>1183</v>
      </c>
      <c r="G52" s="455"/>
      <c r="H52" s="455"/>
      <c r="I52" s="455"/>
      <c r="J52" s="455"/>
      <c r="K52" s="455"/>
      <c r="L52" s="455"/>
      <c r="M52" s="455"/>
      <c r="N52" s="455"/>
      <c r="O52" s="455"/>
      <c r="P52" s="455"/>
      <c r="Q52" s="455"/>
      <c r="R52" s="455"/>
      <c r="S52" s="455"/>
      <c r="T52" s="455"/>
      <c r="U52" s="455"/>
      <c r="V52" s="455"/>
      <c r="W52" s="455"/>
      <c r="X52" s="455"/>
      <c r="Y52" s="455"/>
      <c r="Z52" s="455"/>
      <c r="AA52" s="134">
        <v>18.681999999999999</v>
      </c>
      <c r="AB52" s="596" t="s">
        <v>38</v>
      </c>
      <c r="AC52" s="135">
        <f>'Ribassi PE'!$K$8</f>
        <v>7.0000000000000007E-2</v>
      </c>
      <c r="AD52" s="136">
        <f t="shared" si="4"/>
        <v>17.373999999999999</v>
      </c>
      <c r="AE52" s="135">
        <f>'Ribassi PE'!$M$8</f>
        <v>0.55000000000000004</v>
      </c>
      <c r="AF52" s="136">
        <f t="shared" si="5"/>
        <v>8.407</v>
      </c>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ht="33.75" x14ac:dyDescent="0.2">
      <c r="A53" s="575"/>
      <c r="B53" s="206" t="s">
        <v>555</v>
      </c>
      <c r="C53" s="536" t="s">
        <v>683</v>
      </c>
      <c r="D53" s="529" t="s">
        <v>684</v>
      </c>
      <c r="E53" s="530" t="s">
        <v>685</v>
      </c>
      <c r="F53" s="207" t="s">
        <v>1184</v>
      </c>
      <c r="G53" s="455"/>
      <c r="H53" s="455"/>
      <c r="I53" s="455"/>
      <c r="J53" s="455"/>
      <c r="K53" s="455"/>
      <c r="L53" s="455"/>
      <c r="M53" s="455"/>
      <c r="N53" s="455"/>
      <c r="O53" s="455"/>
      <c r="P53" s="455"/>
      <c r="Q53" s="455"/>
      <c r="R53" s="455"/>
      <c r="S53" s="455"/>
      <c r="T53" s="455"/>
      <c r="U53" s="455"/>
      <c r="V53" s="455"/>
      <c r="W53" s="455"/>
      <c r="X53" s="455"/>
      <c r="Y53" s="455"/>
      <c r="Z53" s="455"/>
      <c r="AA53" s="164">
        <v>4.9089999999999998</v>
      </c>
      <c r="AB53" s="596" t="s">
        <v>38</v>
      </c>
      <c r="AC53" s="165">
        <f>'Ribassi PE'!$K$8</f>
        <v>7.0000000000000007E-2</v>
      </c>
      <c r="AD53" s="166">
        <f t="shared" si="4"/>
        <v>4.5650000000000004</v>
      </c>
      <c r="AE53" s="165">
        <f>'Ribassi PE'!$M$8</f>
        <v>0.55000000000000004</v>
      </c>
      <c r="AF53" s="166">
        <f t="shared" si="5"/>
        <v>2.2090000000000001</v>
      </c>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ht="33.75" x14ac:dyDescent="0.2">
      <c r="A54" s="575"/>
      <c r="B54" s="206" t="s">
        <v>556</v>
      </c>
      <c r="C54" s="536" t="s">
        <v>686</v>
      </c>
      <c r="D54" s="529" t="s">
        <v>684</v>
      </c>
      <c r="E54" s="530" t="s">
        <v>687</v>
      </c>
      <c r="F54" s="207" t="s">
        <v>1184</v>
      </c>
      <c r="G54" s="455"/>
      <c r="H54" s="455"/>
      <c r="I54" s="455"/>
      <c r="J54" s="455"/>
      <c r="K54" s="455"/>
      <c r="L54" s="455"/>
      <c r="M54" s="455"/>
      <c r="N54" s="455"/>
      <c r="O54" s="455"/>
      <c r="P54" s="455"/>
      <c r="Q54" s="455"/>
      <c r="R54" s="455"/>
      <c r="S54" s="455"/>
      <c r="T54" s="455"/>
      <c r="U54" s="455"/>
      <c r="V54" s="455"/>
      <c r="W54" s="455"/>
      <c r="X54" s="455"/>
      <c r="Y54" s="455"/>
      <c r="Z54" s="455"/>
      <c r="AA54" s="164">
        <v>3.226</v>
      </c>
      <c r="AB54" s="596" t="s">
        <v>38</v>
      </c>
      <c r="AC54" s="165">
        <f>'Ribassi PE'!$K$8</f>
        <v>7.0000000000000007E-2</v>
      </c>
      <c r="AD54" s="166">
        <f t="shared" si="4"/>
        <v>3</v>
      </c>
      <c r="AE54" s="165">
        <f>'Ribassi PE'!$M$8</f>
        <v>0.55000000000000004</v>
      </c>
      <c r="AF54" s="166">
        <f t="shared" si="5"/>
        <v>1.452</v>
      </c>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ht="45" x14ac:dyDescent="0.2">
      <c r="A55" s="575"/>
      <c r="B55" s="206" t="s">
        <v>557</v>
      </c>
      <c r="C55" s="536" t="s">
        <v>688</v>
      </c>
      <c r="D55" s="529" t="s">
        <v>689</v>
      </c>
      <c r="E55" s="530" t="s">
        <v>690</v>
      </c>
      <c r="F55" s="207" t="s">
        <v>1184</v>
      </c>
      <c r="G55" s="455"/>
      <c r="H55" s="455"/>
      <c r="I55" s="455"/>
      <c r="J55" s="455"/>
      <c r="K55" s="455"/>
      <c r="L55" s="455"/>
      <c r="M55" s="455"/>
      <c r="N55" s="455"/>
      <c r="O55" s="455"/>
      <c r="P55" s="455"/>
      <c r="Q55" s="455"/>
      <c r="R55" s="455"/>
      <c r="S55" s="455"/>
      <c r="T55" s="455"/>
      <c r="U55" s="455"/>
      <c r="V55" s="455"/>
      <c r="W55" s="455"/>
      <c r="X55" s="455"/>
      <c r="Y55" s="455"/>
      <c r="Z55" s="455"/>
      <c r="AA55" s="164">
        <v>4.46</v>
      </c>
      <c r="AB55" s="596" t="s">
        <v>38</v>
      </c>
      <c r="AC55" s="165">
        <f>'Ribassi PE'!$K$8</f>
        <v>7.0000000000000007E-2</v>
      </c>
      <c r="AD55" s="166">
        <f t="shared" si="4"/>
        <v>4.1479999999999997</v>
      </c>
      <c r="AE55" s="165">
        <f>'Ribassi PE'!$M$8</f>
        <v>0.55000000000000004</v>
      </c>
      <c r="AF55" s="166">
        <f t="shared" si="5"/>
        <v>2.0070000000000001</v>
      </c>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ht="45" x14ac:dyDescent="0.2">
      <c r="A56" s="575"/>
      <c r="B56" s="206" t="s">
        <v>558</v>
      </c>
      <c r="C56" s="536" t="s">
        <v>691</v>
      </c>
      <c r="D56" s="529" t="s">
        <v>689</v>
      </c>
      <c r="E56" s="530" t="s">
        <v>692</v>
      </c>
      <c r="F56" s="207" t="s">
        <v>1184</v>
      </c>
      <c r="G56" s="455"/>
      <c r="H56" s="455"/>
      <c r="I56" s="455"/>
      <c r="J56" s="455"/>
      <c r="K56" s="455"/>
      <c r="L56" s="455"/>
      <c r="M56" s="455"/>
      <c r="N56" s="455"/>
      <c r="O56" s="455"/>
      <c r="P56" s="455"/>
      <c r="Q56" s="455"/>
      <c r="R56" s="455"/>
      <c r="S56" s="455"/>
      <c r="T56" s="455"/>
      <c r="U56" s="455"/>
      <c r="V56" s="455"/>
      <c r="W56" s="455"/>
      <c r="X56" s="455"/>
      <c r="Y56" s="455"/>
      <c r="Z56" s="455"/>
      <c r="AA56" s="134">
        <v>2.677</v>
      </c>
      <c r="AB56" s="596" t="s">
        <v>38</v>
      </c>
      <c r="AC56" s="167">
        <f>'Ribassi PE'!$K$8</f>
        <v>7.0000000000000007E-2</v>
      </c>
      <c r="AD56" s="168">
        <f t="shared" si="4"/>
        <v>2.4900000000000002</v>
      </c>
      <c r="AE56" s="167">
        <f>'Ribassi PE'!$M$8</f>
        <v>0.55000000000000004</v>
      </c>
      <c r="AF56" s="168">
        <f t="shared" si="5"/>
        <v>1.2050000000000001</v>
      </c>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ht="45" x14ac:dyDescent="0.2">
      <c r="A57" s="575"/>
      <c r="B57" s="206" t="s">
        <v>559</v>
      </c>
      <c r="C57" s="536" t="s">
        <v>693</v>
      </c>
      <c r="D57" s="529" t="s">
        <v>694</v>
      </c>
      <c r="E57" s="530" t="s">
        <v>695</v>
      </c>
      <c r="F57" s="207" t="s">
        <v>1184</v>
      </c>
      <c r="G57" s="455"/>
      <c r="H57" s="455"/>
      <c r="I57" s="455"/>
      <c r="J57" s="455"/>
      <c r="K57" s="455"/>
      <c r="L57" s="455"/>
      <c r="M57" s="455"/>
      <c r="N57" s="455"/>
      <c r="O57" s="455"/>
      <c r="P57" s="455"/>
      <c r="Q57" s="455"/>
      <c r="R57" s="455"/>
      <c r="S57" s="455"/>
      <c r="T57" s="455"/>
      <c r="U57" s="455"/>
      <c r="V57" s="455"/>
      <c r="W57" s="455"/>
      <c r="X57" s="455"/>
      <c r="Y57" s="455"/>
      <c r="Z57" s="455"/>
      <c r="AA57" s="134">
        <v>11.739000000000001</v>
      </c>
      <c r="AB57" s="596" t="s">
        <v>38</v>
      </c>
      <c r="AC57" s="165">
        <f>'Ribassi PE'!$K$8</f>
        <v>7.0000000000000007E-2</v>
      </c>
      <c r="AD57" s="169">
        <f t="shared" si="4"/>
        <v>10.917</v>
      </c>
      <c r="AE57" s="165">
        <f>'Ribassi PE'!$M$8</f>
        <v>0.55000000000000004</v>
      </c>
      <c r="AF57" s="169">
        <f t="shared" si="5"/>
        <v>5.2830000000000004</v>
      </c>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ht="45" x14ac:dyDescent="0.2">
      <c r="A58" s="575"/>
      <c r="B58" s="206" t="s">
        <v>560</v>
      </c>
      <c r="C58" s="536" t="s">
        <v>696</v>
      </c>
      <c r="D58" s="529" t="s">
        <v>694</v>
      </c>
      <c r="E58" s="530" t="s">
        <v>697</v>
      </c>
      <c r="F58" s="207" t="s">
        <v>1184</v>
      </c>
      <c r="G58" s="455"/>
      <c r="H58" s="455"/>
      <c r="I58" s="455"/>
      <c r="J58" s="455"/>
      <c r="K58" s="455"/>
      <c r="L58" s="455"/>
      <c r="M58" s="455"/>
      <c r="N58" s="455"/>
      <c r="O58" s="455"/>
      <c r="P58" s="455"/>
      <c r="Q58" s="455"/>
      <c r="R58" s="455"/>
      <c r="S58" s="455"/>
      <c r="T58" s="455"/>
      <c r="U58" s="455"/>
      <c r="V58" s="455"/>
      <c r="W58" s="455"/>
      <c r="X58" s="455"/>
      <c r="Y58" s="455"/>
      <c r="Z58" s="455"/>
      <c r="AA58" s="134">
        <v>4.1639999999999997</v>
      </c>
      <c r="AB58" s="596" t="s">
        <v>38</v>
      </c>
      <c r="AC58" s="135">
        <f>'Ribassi PE'!$K$8</f>
        <v>7.0000000000000007E-2</v>
      </c>
      <c r="AD58" s="136">
        <f t="shared" si="4"/>
        <v>3.8730000000000002</v>
      </c>
      <c r="AE58" s="135">
        <f>'Ribassi PE'!$M$8</f>
        <v>0.55000000000000004</v>
      </c>
      <c r="AF58" s="136">
        <f t="shared" si="5"/>
        <v>1.8740000000000001</v>
      </c>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ht="33.75" x14ac:dyDescent="0.2">
      <c r="A59" s="575"/>
      <c r="B59" s="206" t="s">
        <v>561</v>
      </c>
      <c r="C59" s="536" t="s">
        <v>698</v>
      </c>
      <c r="D59" s="529" t="s">
        <v>699</v>
      </c>
      <c r="E59" s="530" t="s">
        <v>700</v>
      </c>
      <c r="F59" s="207" t="s">
        <v>1185</v>
      </c>
      <c r="G59" s="455"/>
      <c r="H59" s="455"/>
      <c r="I59" s="455"/>
      <c r="J59" s="455"/>
      <c r="K59" s="455"/>
      <c r="L59" s="455"/>
      <c r="M59" s="455"/>
      <c r="N59" s="455"/>
      <c r="O59" s="455"/>
      <c r="P59" s="455"/>
      <c r="Q59" s="455"/>
      <c r="R59" s="455"/>
      <c r="S59" s="455"/>
      <c r="T59" s="455"/>
      <c r="U59" s="455"/>
      <c r="V59" s="455"/>
      <c r="W59" s="455"/>
      <c r="X59" s="455"/>
      <c r="Y59" s="455"/>
      <c r="Z59" s="455"/>
      <c r="AA59" s="164">
        <v>10.914999999999999</v>
      </c>
      <c r="AB59" s="596" t="s">
        <v>38</v>
      </c>
      <c r="AC59" s="165">
        <f>'Ribassi PE'!$K$8</f>
        <v>7.0000000000000007E-2</v>
      </c>
      <c r="AD59" s="166">
        <f t="shared" si="4"/>
        <v>10.151</v>
      </c>
      <c r="AE59" s="165">
        <f>'Ribassi PE'!$M$8</f>
        <v>0.55000000000000004</v>
      </c>
      <c r="AF59" s="166">
        <f t="shared" si="5"/>
        <v>4.9119999999999999</v>
      </c>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ht="33.75" x14ac:dyDescent="0.2">
      <c r="A60" s="575"/>
      <c r="B60" s="206" t="s">
        <v>562</v>
      </c>
      <c r="C60" s="536" t="s">
        <v>701</v>
      </c>
      <c r="D60" s="529" t="s">
        <v>699</v>
      </c>
      <c r="E60" s="530" t="s">
        <v>702</v>
      </c>
      <c r="F60" s="207" t="s">
        <v>1185</v>
      </c>
      <c r="G60" s="455"/>
      <c r="H60" s="455"/>
      <c r="I60" s="455"/>
      <c r="J60" s="455"/>
      <c r="K60" s="455"/>
      <c r="L60" s="455"/>
      <c r="M60" s="455"/>
      <c r="N60" s="455"/>
      <c r="O60" s="455"/>
      <c r="P60" s="455"/>
      <c r="Q60" s="455"/>
      <c r="R60" s="455"/>
      <c r="S60" s="455"/>
      <c r="T60" s="455"/>
      <c r="U60" s="455"/>
      <c r="V60" s="455"/>
      <c r="W60" s="455"/>
      <c r="X60" s="455"/>
      <c r="Y60" s="455"/>
      <c r="Z60" s="455"/>
      <c r="AA60" s="164">
        <v>4.407</v>
      </c>
      <c r="AB60" s="596" t="s">
        <v>38</v>
      </c>
      <c r="AC60" s="165">
        <f>'Ribassi PE'!$K$8</f>
        <v>7.0000000000000007E-2</v>
      </c>
      <c r="AD60" s="166">
        <f t="shared" si="4"/>
        <v>4.0990000000000002</v>
      </c>
      <c r="AE60" s="165">
        <f>'Ribassi PE'!$M$8</f>
        <v>0.55000000000000004</v>
      </c>
      <c r="AF60" s="166">
        <f t="shared" si="5"/>
        <v>1.9830000000000001</v>
      </c>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ht="45" x14ac:dyDescent="0.2">
      <c r="A61" s="575"/>
      <c r="B61" s="206" t="s">
        <v>563</v>
      </c>
      <c r="C61" s="536" t="s">
        <v>703</v>
      </c>
      <c r="D61" s="529" t="s">
        <v>704</v>
      </c>
      <c r="E61" s="530" t="s">
        <v>705</v>
      </c>
      <c r="F61" s="207" t="s">
        <v>1185</v>
      </c>
      <c r="G61" s="455"/>
      <c r="H61" s="455"/>
      <c r="I61" s="455"/>
      <c r="J61" s="455"/>
      <c r="K61" s="455"/>
      <c r="L61" s="455"/>
      <c r="M61" s="455"/>
      <c r="N61" s="455"/>
      <c r="O61" s="455"/>
      <c r="P61" s="455"/>
      <c r="Q61" s="455"/>
      <c r="R61" s="455"/>
      <c r="S61" s="455"/>
      <c r="T61" s="455"/>
      <c r="U61" s="455"/>
      <c r="V61" s="455"/>
      <c r="W61" s="455"/>
      <c r="X61" s="455"/>
      <c r="Y61" s="455"/>
      <c r="Z61" s="455"/>
      <c r="AA61" s="134">
        <v>9.8849999999999998</v>
      </c>
      <c r="AB61" s="596" t="s">
        <v>38</v>
      </c>
      <c r="AC61" s="135">
        <f>'Ribassi PE'!$K$8</f>
        <v>7.0000000000000007E-2</v>
      </c>
      <c r="AD61" s="136">
        <f t="shared" si="4"/>
        <v>9.1929999999999996</v>
      </c>
      <c r="AE61" s="135">
        <f>'Ribassi PE'!$M$8</f>
        <v>0.55000000000000004</v>
      </c>
      <c r="AF61" s="136">
        <f t="shared" si="5"/>
        <v>4.4480000000000004</v>
      </c>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ht="45" x14ac:dyDescent="0.2">
      <c r="A62" s="575"/>
      <c r="B62" s="206" t="s">
        <v>564</v>
      </c>
      <c r="C62" s="536" t="s">
        <v>706</v>
      </c>
      <c r="D62" s="529" t="s">
        <v>704</v>
      </c>
      <c r="E62" s="530" t="s">
        <v>707</v>
      </c>
      <c r="F62" s="207" t="s">
        <v>1185</v>
      </c>
      <c r="G62" s="455"/>
      <c r="H62" s="455"/>
      <c r="I62" s="455"/>
      <c r="J62" s="455"/>
      <c r="K62" s="455"/>
      <c r="L62" s="455"/>
      <c r="M62" s="455"/>
      <c r="N62" s="455"/>
      <c r="O62" s="455"/>
      <c r="P62" s="455"/>
      <c r="Q62" s="455"/>
      <c r="R62" s="455"/>
      <c r="S62" s="455"/>
      <c r="T62" s="455"/>
      <c r="U62" s="455"/>
      <c r="V62" s="455"/>
      <c r="W62" s="455"/>
      <c r="X62" s="455"/>
      <c r="Y62" s="455"/>
      <c r="Z62" s="455"/>
      <c r="AA62" s="164">
        <v>3.32</v>
      </c>
      <c r="AB62" s="596" t="s">
        <v>38</v>
      </c>
      <c r="AC62" s="165">
        <f>'Ribassi PE'!$K$8</f>
        <v>7.0000000000000007E-2</v>
      </c>
      <c r="AD62" s="166">
        <f t="shared" si="4"/>
        <v>3.0880000000000001</v>
      </c>
      <c r="AE62" s="165">
        <f>'Ribassi PE'!$M$8</f>
        <v>0.55000000000000004</v>
      </c>
      <c r="AF62" s="166">
        <f t="shared" si="5"/>
        <v>1.494</v>
      </c>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ht="45" x14ac:dyDescent="0.2">
      <c r="A63" s="575"/>
      <c r="B63" s="206" t="s">
        <v>565</v>
      </c>
      <c r="C63" s="536" t="s">
        <v>708</v>
      </c>
      <c r="D63" s="529" t="s">
        <v>709</v>
      </c>
      <c r="E63" s="530" t="s">
        <v>710</v>
      </c>
      <c r="F63" s="207" t="s">
        <v>1185</v>
      </c>
      <c r="G63" s="455"/>
      <c r="H63" s="455"/>
      <c r="I63" s="455"/>
      <c r="J63" s="455"/>
      <c r="K63" s="455"/>
      <c r="L63" s="455"/>
      <c r="M63" s="455"/>
      <c r="N63" s="455"/>
      <c r="O63" s="455"/>
      <c r="P63" s="455"/>
      <c r="Q63" s="455"/>
      <c r="R63" s="455"/>
      <c r="S63" s="455"/>
      <c r="T63" s="455"/>
      <c r="U63" s="455"/>
      <c r="V63" s="455"/>
      <c r="W63" s="455"/>
      <c r="X63" s="455"/>
      <c r="Y63" s="455"/>
      <c r="Z63" s="455"/>
      <c r="AA63" s="134">
        <v>21.998000000000001</v>
      </c>
      <c r="AB63" s="596" t="s">
        <v>38</v>
      </c>
      <c r="AC63" s="135">
        <f>'Ribassi PE'!$K$8</f>
        <v>7.0000000000000007E-2</v>
      </c>
      <c r="AD63" s="136">
        <f t="shared" si="4"/>
        <v>20.457999999999998</v>
      </c>
      <c r="AE63" s="135">
        <f>'Ribassi PE'!$M$8</f>
        <v>0.55000000000000004</v>
      </c>
      <c r="AF63" s="136">
        <f t="shared" si="5"/>
        <v>9.8989999999999991</v>
      </c>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ht="45.75" thickBot="1" x14ac:dyDescent="0.25">
      <c r="A64" s="578"/>
      <c r="B64" s="208" t="s">
        <v>566</v>
      </c>
      <c r="C64" s="209" t="s">
        <v>711</v>
      </c>
      <c r="D64" s="532" t="s">
        <v>709</v>
      </c>
      <c r="E64" s="210" t="s">
        <v>712</v>
      </c>
      <c r="F64" s="211" t="s">
        <v>1185</v>
      </c>
      <c r="G64" s="456"/>
      <c r="H64" s="456"/>
      <c r="I64" s="456"/>
      <c r="J64" s="456"/>
      <c r="K64" s="456"/>
      <c r="L64" s="456"/>
      <c r="M64" s="456"/>
      <c r="N64" s="456"/>
      <c r="O64" s="456"/>
      <c r="P64" s="456"/>
      <c r="Q64" s="456"/>
      <c r="R64" s="456"/>
      <c r="S64" s="456"/>
      <c r="T64" s="456"/>
      <c r="U64" s="456"/>
      <c r="V64" s="456"/>
      <c r="W64" s="456"/>
      <c r="X64" s="456"/>
      <c r="Y64" s="456"/>
      <c r="Z64" s="456"/>
      <c r="AA64" s="137">
        <v>6.0380000000000003</v>
      </c>
      <c r="AB64" s="597" t="s">
        <v>38</v>
      </c>
      <c r="AC64" s="138">
        <f>'Ribassi PE'!$K$8</f>
        <v>7.0000000000000007E-2</v>
      </c>
      <c r="AD64" s="139">
        <f t="shared" si="0"/>
        <v>5.6150000000000002</v>
      </c>
      <c r="AE64" s="138">
        <f>'Ribassi PE'!$M$8</f>
        <v>0.55000000000000004</v>
      </c>
      <c r="AF64" s="139">
        <f t="shared" si="1"/>
        <v>2.7170000000000001</v>
      </c>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s="99" customFormat="1" ht="12.75" thickBot="1" x14ac:dyDescent="0.25">
      <c r="A65" s="98"/>
      <c r="B65" s="98"/>
      <c r="C65" s="98"/>
      <c r="D65" s="98"/>
      <c r="E65" s="98"/>
      <c r="F65" s="125" t="s">
        <v>329</v>
      </c>
      <c r="G65" s="126">
        <f>SUMPRODUCT(G7:G64,$AA$7:$AA$64)*G$4/12</f>
        <v>0</v>
      </c>
      <c r="H65" s="126">
        <f>SUMPRODUCT(H7:H64,$AA$7:$AA$64)*H$4/12</f>
        <v>0</v>
      </c>
      <c r="I65" s="126">
        <f t="shared" ref="I65:Z65" si="6">SUMPRODUCT(I7:I64,$AA$7:$AA$64)*I$4/12</f>
        <v>0</v>
      </c>
      <c r="J65" s="126">
        <f t="shared" si="6"/>
        <v>0</v>
      </c>
      <c r="K65" s="126">
        <f t="shared" si="6"/>
        <v>0</v>
      </c>
      <c r="L65" s="126">
        <f t="shared" si="6"/>
        <v>0</v>
      </c>
      <c r="M65" s="126">
        <f t="shared" si="6"/>
        <v>0</v>
      </c>
      <c r="N65" s="126">
        <f t="shared" si="6"/>
        <v>0</v>
      </c>
      <c r="O65" s="126">
        <f t="shared" si="6"/>
        <v>0</v>
      </c>
      <c r="P65" s="126">
        <f t="shared" si="6"/>
        <v>0</v>
      </c>
      <c r="Q65" s="126">
        <f t="shared" si="6"/>
        <v>0</v>
      </c>
      <c r="R65" s="126">
        <f t="shared" si="6"/>
        <v>0</v>
      </c>
      <c r="S65" s="126">
        <f t="shared" si="6"/>
        <v>0</v>
      </c>
      <c r="T65" s="126">
        <f t="shared" si="6"/>
        <v>0</v>
      </c>
      <c r="U65" s="126">
        <f t="shared" si="6"/>
        <v>0</v>
      </c>
      <c r="V65" s="126">
        <f t="shared" si="6"/>
        <v>0</v>
      </c>
      <c r="W65" s="126">
        <f t="shared" si="6"/>
        <v>0</v>
      </c>
      <c r="X65" s="126">
        <f t="shared" si="6"/>
        <v>0</v>
      </c>
      <c r="Y65" s="126">
        <f t="shared" si="6"/>
        <v>0</v>
      </c>
      <c r="Z65" s="126">
        <f t="shared" si="6"/>
        <v>0</v>
      </c>
      <c r="AA65" s="97"/>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6"/>
    </row>
    <row r="66" spans="1:57" s="99" customFormat="1" ht="12.75" thickBot="1" x14ac:dyDescent="0.25">
      <c r="A66" s="98"/>
      <c r="B66" s="98"/>
      <c r="C66" s="98"/>
      <c r="D66" s="98"/>
      <c r="E66" s="98"/>
      <c r="F66" s="581" t="s">
        <v>330</v>
      </c>
      <c r="G66" s="201">
        <f>SUMPRODUCT(G7:G64,$AD$7:$AD$64)*G$4/12</f>
        <v>0</v>
      </c>
      <c r="H66" s="201">
        <f t="shared" ref="H66:Z66" si="7">SUMPRODUCT(H7:H64,$AD$7:$AD$64)*H$4/12</f>
        <v>0</v>
      </c>
      <c r="I66" s="201">
        <f t="shared" si="7"/>
        <v>0</v>
      </c>
      <c r="J66" s="201">
        <f t="shared" si="7"/>
        <v>0</v>
      </c>
      <c r="K66" s="201">
        <f t="shared" si="7"/>
        <v>0</v>
      </c>
      <c r="L66" s="201">
        <f t="shared" si="7"/>
        <v>0</v>
      </c>
      <c r="M66" s="201">
        <f t="shared" si="7"/>
        <v>0</v>
      </c>
      <c r="N66" s="201">
        <f t="shared" si="7"/>
        <v>0</v>
      </c>
      <c r="O66" s="201">
        <f t="shared" si="7"/>
        <v>0</v>
      </c>
      <c r="P66" s="201">
        <f t="shared" si="7"/>
        <v>0</v>
      </c>
      <c r="Q66" s="201">
        <f t="shared" si="7"/>
        <v>0</v>
      </c>
      <c r="R66" s="201">
        <f t="shared" si="7"/>
        <v>0</v>
      </c>
      <c r="S66" s="201">
        <f t="shared" si="7"/>
        <v>0</v>
      </c>
      <c r="T66" s="201">
        <f t="shared" si="7"/>
        <v>0</v>
      </c>
      <c r="U66" s="201">
        <f t="shared" si="7"/>
        <v>0</v>
      </c>
      <c r="V66" s="201">
        <f t="shared" si="7"/>
        <v>0</v>
      </c>
      <c r="W66" s="201">
        <f t="shared" si="7"/>
        <v>0</v>
      </c>
      <c r="X66" s="201">
        <f t="shared" si="7"/>
        <v>0</v>
      </c>
      <c r="Y66" s="201">
        <f t="shared" si="7"/>
        <v>0</v>
      </c>
      <c r="Z66" s="202">
        <f t="shared" si="7"/>
        <v>0</v>
      </c>
      <c r="AA66" s="97"/>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6"/>
    </row>
    <row r="67" spans="1:57" s="99" customFormat="1" ht="12.75" thickBot="1" x14ac:dyDescent="0.25">
      <c r="A67" s="98"/>
      <c r="B67" s="98"/>
      <c r="C67" s="98"/>
      <c r="D67" s="98"/>
      <c r="E67" s="98"/>
      <c r="F67" s="581" t="s">
        <v>331</v>
      </c>
      <c r="G67" s="201">
        <f>SUMPRODUCT(G7:G64,$AF$7:$AF$64)*G$4/12</f>
        <v>0</v>
      </c>
      <c r="H67" s="201">
        <f t="shared" ref="H67:Z67" si="8">SUMPRODUCT(H7:H64,$AF$7:$AF$64)*H$4/12</f>
        <v>0</v>
      </c>
      <c r="I67" s="201">
        <f t="shared" si="8"/>
        <v>0</v>
      </c>
      <c r="J67" s="201">
        <f t="shared" si="8"/>
        <v>0</v>
      </c>
      <c r="K67" s="201">
        <f t="shared" si="8"/>
        <v>0</v>
      </c>
      <c r="L67" s="201">
        <f t="shared" si="8"/>
        <v>0</v>
      </c>
      <c r="M67" s="201">
        <f t="shared" si="8"/>
        <v>0</v>
      </c>
      <c r="N67" s="201">
        <f t="shared" si="8"/>
        <v>0</v>
      </c>
      <c r="O67" s="201">
        <f t="shared" si="8"/>
        <v>0</v>
      </c>
      <c r="P67" s="201">
        <f t="shared" si="8"/>
        <v>0</v>
      </c>
      <c r="Q67" s="201">
        <f t="shared" si="8"/>
        <v>0</v>
      </c>
      <c r="R67" s="201">
        <f t="shared" si="8"/>
        <v>0</v>
      </c>
      <c r="S67" s="201">
        <f t="shared" si="8"/>
        <v>0</v>
      </c>
      <c r="T67" s="201">
        <f t="shared" si="8"/>
        <v>0</v>
      </c>
      <c r="U67" s="201">
        <f t="shared" si="8"/>
        <v>0</v>
      </c>
      <c r="V67" s="201">
        <f t="shared" si="8"/>
        <v>0</v>
      </c>
      <c r="W67" s="201">
        <f t="shared" si="8"/>
        <v>0</v>
      </c>
      <c r="X67" s="201">
        <f t="shared" si="8"/>
        <v>0</v>
      </c>
      <c r="Y67" s="201">
        <f t="shared" si="8"/>
        <v>0</v>
      </c>
      <c r="Z67" s="202">
        <f t="shared" si="8"/>
        <v>0</v>
      </c>
      <c r="AA67" s="97"/>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6"/>
    </row>
    <row r="68" spans="1:57" ht="31.5" customHeight="1"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6"/>
      <c r="B82" s="98"/>
      <c r="C82" s="98"/>
      <c r="D82" s="98"/>
      <c r="E82" s="98"/>
      <c r="F82" s="98"/>
      <c r="G82" s="576"/>
      <c r="H82" s="576"/>
      <c r="I82" s="576"/>
      <c r="J82" s="576"/>
      <c r="K82" s="576"/>
      <c r="L82" s="576"/>
      <c r="M82" s="576"/>
      <c r="N82" s="576"/>
      <c r="O82" s="576"/>
      <c r="P82" s="576"/>
      <c r="Q82" s="576"/>
      <c r="R82" s="576"/>
      <c r="S82" s="576"/>
      <c r="T82" s="576"/>
      <c r="U82" s="576"/>
      <c r="V82" s="576"/>
      <c r="W82" s="576"/>
      <c r="X82" s="576"/>
      <c r="Y82" s="576"/>
      <c r="Z82" s="576"/>
      <c r="AA82" s="98"/>
      <c r="AB82" s="98"/>
      <c r="AC82" s="98"/>
      <c r="AD82" s="98"/>
      <c r="AE82" s="98"/>
      <c r="AF82" s="98"/>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7"/>
    </row>
    <row r="83" spans="1:57" x14ac:dyDescent="0.2">
      <c r="A83" s="576"/>
      <c r="B83" s="98"/>
      <c r="C83" s="98"/>
      <c r="D83" s="98"/>
      <c r="E83" s="98"/>
      <c r="F83" s="98"/>
      <c r="G83" s="576"/>
      <c r="H83" s="576"/>
      <c r="I83" s="576"/>
      <c r="J83" s="576"/>
      <c r="K83" s="576"/>
      <c r="L83" s="576"/>
      <c r="M83" s="576"/>
      <c r="N83" s="576"/>
      <c r="O83" s="576"/>
      <c r="P83" s="576"/>
      <c r="Q83" s="576"/>
      <c r="R83" s="576"/>
      <c r="S83" s="576"/>
      <c r="T83" s="576"/>
      <c r="U83" s="576"/>
      <c r="V83" s="576"/>
      <c r="W83" s="576"/>
      <c r="X83" s="576"/>
      <c r="Y83" s="576"/>
      <c r="Z83" s="576"/>
      <c r="AA83" s="98"/>
      <c r="AB83" s="98"/>
      <c r="AC83" s="98"/>
      <c r="AD83" s="98"/>
      <c r="AE83" s="98"/>
      <c r="AF83" s="98"/>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7"/>
    </row>
    <row r="84" spans="1:57" x14ac:dyDescent="0.2">
      <c r="A84" s="576"/>
      <c r="B84" s="98"/>
      <c r="C84" s="98"/>
      <c r="D84" s="98"/>
      <c r="E84" s="98"/>
      <c r="F84" s="98"/>
      <c r="G84" s="576"/>
      <c r="H84" s="576"/>
      <c r="I84" s="576"/>
      <c r="J84" s="576"/>
      <c r="K84" s="576"/>
      <c r="L84" s="576"/>
      <c r="M84" s="576"/>
      <c r="N84" s="576"/>
      <c r="O84" s="576"/>
      <c r="P84" s="576"/>
      <c r="Q84" s="576"/>
      <c r="R84" s="576"/>
      <c r="S84" s="576"/>
      <c r="T84" s="576"/>
      <c r="U84" s="576"/>
      <c r="V84" s="576"/>
      <c r="W84" s="576"/>
      <c r="X84" s="576"/>
      <c r="Y84" s="576"/>
      <c r="Z84" s="576"/>
      <c r="AA84" s="98"/>
      <c r="AB84" s="98"/>
      <c r="AC84" s="98"/>
      <c r="AD84" s="98"/>
      <c r="AE84" s="98"/>
      <c r="AF84" s="98"/>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7"/>
    </row>
    <row r="85" spans="1:57" x14ac:dyDescent="0.2">
      <c r="A85" s="576"/>
      <c r="B85" s="98"/>
      <c r="C85" s="98"/>
      <c r="D85" s="98"/>
      <c r="E85" s="98"/>
      <c r="F85" s="98"/>
      <c r="G85" s="576"/>
      <c r="H85" s="576"/>
      <c r="I85" s="576"/>
      <c r="J85" s="576"/>
      <c r="K85" s="576"/>
      <c r="L85" s="576"/>
      <c r="M85" s="576"/>
      <c r="N85" s="576"/>
      <c r="O85" s="576"/>
      <c r="P85" s="576"/>
      <c r="Q85" s="576"/>
      <c r="R85" s="576"/>
      <c r="S85" s="576"/>
      <c r="T85" s="576"/>
      <c r="U85" s="576"/>
      <c r="V85" s="576"/>
      <c r="W85" s="576"/>
      <c r="X85" s="576"/>
      <c r="Y85" s="576"/>
      <c r="Z85" s="576"/>
      <c r="AA85" s="98"/>
      <c r="AB85" s="98"/>
      <c r="AC85" s="98"/>
      <c r="AD85" s="98"/>
      <c r="AE85" s="98"/>
      <c r="AF85" s="98"/>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7"/>
    </row>
    <row r="86" spans="1:57" x14ac:dyDescent="0.2">
      <c r="A86" s="576"/>
      <c r="B86" s="98"/>
      <c r="C86" s="98"/>
      <c r="D86" s="98"/>
      <c r="E86" s="98"/>
      <c r="F86" s="98"/>
      <c r="G86" s="576"/>
      <c r="H86" s="576"/>
      <c r="I86" s="576"/>
      <c r="J86" s="576"/>
      <c r="K86" s="576"/>
      <c r="L86" s="576"/>
      <c r="M86" s="576"/>
      <c r="N86" s="576"/>
      <c r="O86" s="576"/>
      <c r="P86" s="576"/>
      <c r="Q86" s="576"/>
      <c r="R86" s="576"/>
      <c r="S86" s="576"/>
      <c r="T86" s="576"/>
      <c r="U86" s="576"/>
      <c r="V86" s="576"/>
      <c r="W86" s="576"/>
      <c r="X86" s="576"/>
      <c r="Y86" s="576"/>
      <c r="Z86" s="576"/>
      <c r="AA86" s="98"/>
      <c r="AB86" s="98"/>
      <c r="AC86" s="98"/>
      <c r="AD86" s="98"/>
      <c r="AE86" s="98"/>
      <c r="AF86" s="98"/>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7"/>
    </row>
    <row r="87" spans="1:57" x14ac:dyDescent="0.2">
      <c r="A87" s="576"/>
      <c r="B87" s="98"/>
      <c r="C87" s="98"/>
      <c r="D87" s="98"/>
      <c r="E87" s="98"/>
      <c r="F87" s="98"/>
      <c r="G87" s="576"/>
      <c r="H87" s="576"/>
      <c r="I87" s="576"/>
      <c r="J87" s="576"/>
      <c r="K87" s="576"/>
      <c r="L87" s="576"/>
      <c r="M87" s="576"/>
      <c r="N87" s="576"/>
      <c r="O87" s="576"/>
      <c r="P87" s="576"/>
      <c r="Q87" s="576"/>
      <c r="R87" s="576"/>
      <c r="S87" s="576"/>
      <c r="T87" s="576"/>
      <c r="U87" s="576"/>
      <c r="V87" s="576"/>
      <c r="W87" s="576"/>
      <c r="X87" s="576"/>
      <c r="Y87" s="576"/>
      <c r="Z87" s="576"/>
      <c r="AA87" s="98"/>
      <c r="AB87" s="98"/>
      <c r="AC87" s="98"/>
      <c r="AD87" s="98"/>
      <c r="AE87" s="98"/>
      <c r="AF87" s="98"/>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7"/>
    </row>
    <row r="88" spans="1:57" x14ac:dyDescent="0.2">
      <c r="A88" s="576"/>
      <c r="B88" s="98"/>
      <c r="C88" s="98"/>
      <c r="D88" s="98"/>
      <c r="E88" s="98"/>
      <c r="F88" s="98"/>
      <c r="G88" s="576"/>
      <c r="H88" s="576"/>
      <c r="I88" s="576"/>
      <c r="J88" s="576"/>
      <c r="K88" s="576"/>
      <c r="L88" s="576"/>
      <c r="M88" s="576"/>
      <c r="N88" s="576"/>
      <c r="O88" s="576"/>
      <c r="P88" s="576"/>
      <c r="Q88" s="576"/>
      <c r="R88" s="576"/>
      <c r="S88" s="576"/>
      <c r="T88" s="576"/>
      <c r="U88" s="576"/>
      <c r="V88" s="576"/>
      <c r="W88" s="576"/>
      <c r="X88" s="576"/>
      <c r="Y88" s="576"/>
      <c r="Z88" s="576"/>
      <c r="AA88" s="98"/>
      <c r="AB88" s="98"/>
      <c r="AC88" s="98"/>
      <c r="AD88" s="98"/>
      <c r="AE88" s="98"/>
      <c r="AF88" s="98"/>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7"/>
    </row>
    <row r="89" spans="1:57" x14ac:dyDescent="0.2">
      <c r="A89" s="576"/>
      <c r="B89" s="98"/>
      <c r="C89" s="98"/>
      <c r="D89" s="98"/>
      <c r="E89" s="98"/>
      <c r="F89" s="98"/>
      <c r="G89" s="576"/>
      <c r="H89" s="576"/>
      <c r="I89" s="576"/>
      <c r="J89" s="576"/>
      <c r="K89" s="576"/>
      <c r="L89" s="576"/>
      <c r="M89" s="576"/>
      <c r="N89" s="576"/>
      <c r="O89" s="576"/>
      <c r="P89" s="576"/>
      <c r="Q89" s="576"/>
      <c r="R89" s="576"/>
      <c r="S89" s="576"/>
      <c r="T89" s="576"/>
      <c r="U89" s="576"/>
      <c r="V89" s="576"/>
      <c r="W89" s="576"/>
      <c r="X89" s="576"/>
      <c r="Y89" s="576"/>
      <c r="Z89" s="576"/>
      <c r="AA89" s="98"/>
      <c r="AB89" s="98"/>
      <c r="AC89" s="98"/>
      <c r="AD89" s="98"/>
      <c r="AE89" s="98"/>
      <c r="AF89" s="98"/>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7"/>
    </row>
    <row r="90" spans="1:57" x14ac:dyDescent="0.2">
      <c r="A90" s="576"/>
      <c r="B90" s="98"/>
      <c r="C90" s="98"/>
      <c r="D90" s="98"/>
      <c r="E90" s="98"/>
      <c r="F90" s="98"/>
      <c r="G90" s="576"/>
      <c r="H90" s="576"/>
      <c r="I90" s="576"/>
      <c r="J90" s="576"/>
      <c r="K90" s="576"/>
      <c r="L90" s="576"/>
      <c r="M90" s="576"/>
      <c r="N90" s="576"/>
      <c r="O90" s="576"/>
      <c r="P90" s="576"/>
      <c r="Q90" s="576"/>
      <c r="R90" s="576"/>
      <c r="S90" s="576"/>
      <c r="T90" s="576"/>
      <c r="U90" s="576"/>
      <c r="V90" s="576"/>
      <c r="W90" s="576"/>
      <c r="X90" s="576"/>
      <c r="Y90" s="576"/>
      <c r="Z90" s="576"/>
      <c r="AA90" s="98"/>
      <c r="AB90" s="98"/>
      <c r="AC90" s="98"/>
      <c r="AD90" s="98"/>
      <c r="AE90" s="98"/>
      <c r="AF90" s="98"/>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6"/>
      <c r="BE90" s="577"/>
    </row>
    <row r="91" spans="1:57" x14ac:dyDescent="0.2">
      <c r="A91" s="576"/>
      <c r="B91" s="98"/>
      <c r="C91" s="98"/>
      <c r="D91" s="98"/>
      <c r="E91" s="98"/>
      <c r="F91" s="98"/>
      <c r="G91" s="576"/>
      <c r="H91" s="576"/>
      <c r="I91" s="576"/>
      <c r="J91" s="576"/>
      <c r="K91" s="576"/>
      <c r="L91" s="576"/>
      <c r="M91" s="576"/>
      <c r="N91" s="576"/>
      <c r="O91" s="576"/>
      <c r="P91" s="576"/>
      <c r="Q91" s="576"/>
      <c r="R91" s="576"/>
      <c r="S91" s="576"/>
      <c r="T91" s="576"/>
      <c r="U91" s="576"/>
      <c r="V91" s="576"/>
      <c r="W91" s="576"/>
      <c r="X91" s="576"/>
      <c r="Y91" s="576"/>
      <c r="Z91" s="576"/>
      <c r="AA91" s="98"/>
      <c r="AB91" s="98"/>
      <c r="AC91" s="98"/>
      <c r="AD91" s="98"/>
      <c r="AE91" s="98"/>
      <c r="AF91" s="98"/>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6"/>
      <c r="BE91" s="577"/>
    </row>
    <row r="92" spans="1:57" x14ac:dyDescent="0.2">
      <c r="A92" s="576"/>
      <c r="B92" s="98"/>
      <c r="C92" s="98"/>
      <c r="D92" s="98"/>
      <c r="E92" s="98"/>
      <c r="F92" s="98"/>
      <c r="G92" s="576"/>
      <c r="H92" s="576"/>
      <c r="I92" s="576"/>
      <c r="J92" s="576"/>
      <c r="K92" s="576"/>
      <c r="L92" s="576"/>
      <c r="M92" s="576"/>
      <c r="N92" s="576"/>
      <c r="O92" s="576"/>
      <c r="P92" s="576"/>
      <c r="Q92" s="576"/>
      <c r="R92" s="576"/>
      <c r="S92" s="576"/>
      <c r="T92" s="576"/>
      <c r="U92" s="576"/>
      <c r="V92" s="576"/>
      <c r="W92" s="576"/>
      <c r="X92" s="576"/>
      <c r="Y92" s="576"/>
      <c r="Z92" s="576"/>
      <c r="AA92" s="98"/>
      <c r="AB92" s="98"/>
      <c r="AC92" s="98"/>
      <c r="AD92" s="98"/>
      <c r="AE92" s="98"/>
      <c r="AF92" s="98"/>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6"/>
      <c r="BE92" s="577"/>
    </row>
    <row r="93" spans="1:57" x14ac:dyDescent="0.2">
      <c r="A93" s="576"/>
      <c r="B93" s="98"/>
      <c r="C93" s="98"/>
      <c r="D93" s="98"/>
      <c r="E93" s="98"/>
      <c r="F93" s="98"/>
      <c r="G93" s="576"/>
      <c r="H93" s="576"/>
      <c r="I93" s="576"/>
      <c r="J93" s="576"/>
      <c r="K93" s="576"/>
      <c r="L93" s="576"/>
      <c r="M93" s="576"/>
      <c r="N93" s="576"/>
      <c r="O93" s="576"/>
      <c r="P93" s="576"/>
      <c r="Q93" s="576"/>
      <c r="R93" s="576"/>
      <c r="S93" s="576"/>
      <c r="T93" s="576"/>
      <c r="U93" s="576"/>
      <c r="V93" s="576"/>
      <c r="W93" s="576"/>
      <c r="X93" s="576"/>
      <c r="Y93" s="576"/>
      <c r="Z93" s="576"/>
      <c r="AA93" s="98"/>
      <c r="AB93" s="98"/>
      <c r="AC93" s="98"/>
      <c r="AD93" s="98"/>
      <c r="AE93" s="98"/>
      <c r="AF93" s="98"/>
      <c r="AG93" s="576"/>
      <c r="AH93" s="576"/>
      <c r="AI93" s="576"/>
      <c r="AJ93" s="576"/>
      <c r="AK93" s="576"/>
      <c r="AL93" s="576"/>
      <c r="AM93" s="576"/>
      <c r="AN93" s="576"/>
      <c r="AO93" s="576"/>
      <c r="AP93" s="576"/>
      <c r="AQ93" s="576"/>
      <c r="AR93" s="576"/>
      <c r="AS93" s="576"/>
      <c r="AT93" s="576"/>
      <c r="AU93" s="576"/>
      <c r="AV93" s="576"/>
      <c r="AW93" s="576"/>
      <c r="AX93" s="576"/>
      <c r="AY93" s="576"/>
      <c r="AZ93" s="576"/>
      <c r="BA93" s="576"/>
      <c r="BB93" s="576"/>
      <c r="BC93" s="576"/>
      <c r="BD93" s="576"/>
      <c r="BE93" s="577"/>
    </row>
    <row r="94" spans="1:57" x14ac:dyDescent="0.2">
      <c r="A94" s="576"/>
      <c r="B94" s="98"/>
      <c r="C94" s="98"/>
      <c r="D94" s="98"/>
      <c r="E94" s="98"/>
      <c r="F94" s="98"/>
      <c r="G94" s="576"/>
      <c r="H94" s="576"/>
      <c r="I94" s="576"/>
      <c r="J94" s="576"/>
      <c r="K94" s="576"/>
      <c r="L94" s="576"/>
      <c r="M94" s="576"/>
      <c r="N94" s="576"/>
      <c r="O94" s="576"/>
      <c r="P94" s="576"/>
      <c r="Q94" s="576"/>
      <c r="R94" s="576"/>
      <c r="S94" s="576"/>
      <c r="T94" s="576"/>
      <c r="U94" s="576"/>
      <c r="V94" s="576"/>
      <c r="W94" s="576"/>
      <c r="X94" s="576"/>
      <c r="Y94" s="576"/>
      <c r="Z94" s="576"/>
      <c r="AA94" s="98"/>
      <c r="AB94" s="98"/>
      <c r="AC94" s="98"/>
      <c r="AD94" s="98"/>
      <c r="AE94" s="98"/>
      <c r="AF94" s="98"/>
      <c r="AG94" s="576"/>
      <c r="AH94" s="576"/>
      <c r="AI94" s="576"/>
      <c r="AJ94" s="576"/>
      <c r="AK94" s="576"/>
      <c r="AL94" s="576"/>
      <c r="AM94" s="576"/>
      <c r="AN94" s="576"/>
      <c r="AO94" s="576"/>
      <c r="AP94" s="576"/>
      <c r="AQ94" s="576"/>
      <c r="AR94" s="576"/>
      <c r="AS94" s="576"/>
      <c r="AT94" s="576"/>
      <c r="AU94" s="576"/>
      <c r="AV94" s="576"/>
      <c r="AW94" s="576"/>
      <c r="AX94" s="576"/>
      <c r="AY94" s="576"/>
      <c r="AZ94" s="576"/>
      <c r="BA94" s="576"/>
      <c r="BB94" s="576"/>
      <c r="BC94" s="576"/>
      <c r="BD94" s="576"/>
      <c r="BE94" s="577"/>
    </row>
    <row r="95" spans="1:57" x14ac:dyDescent="0.2">
      <c r="A95" s="576"/>
      <c r="B95" s="98"/>
      <c r="C95" s="98"/>
      <c r="D95" s="98"/>
      <c r="E95" s="98"/>
      <c r="F95" s="98"/>
      <c r="G95" s="576"/>
      <c r="H95" s="576"/>
      <c r="I95" s="576"/>
      <c r="J95" s="576"/>
      <c r="K95" s="576"/>
      <c r="L95" s="576"/>
      <c r="M95" s="576"/>
      <c r="N95" s="576"/>
      <c r="O95" s="576"/>
      <c r="P95" s="576"/>
      <c r="Q95" s="576"/>
      <c r="R95" s="576"/>
      <c r="S95" s="576"/>
      <c r="T95" s="576"/>
      <c r="U95" s="576"/>
      <c r="V95" s="576"/>
      <c r="W95" s="576"/>
      <c r="X95" s="576"/>
      <c r="Y95" s="576"/>
      <c r="Z95" s="576"/>
      <c r="AA95" s="98"/>
      <c r="AB95" s="98"/>
      <c r="AC95" s="98"/>
      <c r="AD95" s="98"/>
      <c r="AE95" s="98"/>
      <c r="AF95" s="98"/>
      <c r="AG95" s="576"/>
      <c r="AH95" s="576"/>
      <c r="AI95" s="576"/>
      <c r="AJ95" s="576"/>
      <c r="AK95" s="576"/>
      <c r="AL95" s="576"/>
      <c r="AM95" s="576"/>
      <c r="AN95" s="576"/>
      <c r="AO95" s="576"/>
      <c r="AP95" s="576"/>
      <c r="AQ95" s="576"/>
      <c r="AR95" s="576"/>
      <c r="AS95" s="576"/>
      <c r="AT95" s="576"/>
      <c r="AU95" s="576"/>
      <c r="AV95" s="576"/>
      <c r="AW95" s="576"/>
      <c r="AX95" s="576"/>
      <c r="AY95" s="576"/>
      <c r="AZ95" s="576"/>
      <c r="BA95" s="576"/>
      <c r="BB95" s="576"/>
      <c r="BC95" s="576"/>
      <c r="BD95" s="576"/>
      <c r="BE95" s="577"/>
    </row>
    <row r="96" spans="1:57" x14ac:dyDescent="0.2">
      <c r="A96" s="576"/>
      <c r="B96" s="98"/>
      <c r="C96" s="98"/>
      <c r="D96" s="98"/>
      <c r="E96" s="98"/>
      <c r="F96" s="98"/>
      <c r="G96" s="576"/>
      <c r="H96" s="576"/>
      <c r="I96" s="576"/>
      <c r="J96" s="576"/>
      <c r="K96" s="576"/>
      <c r="L96" s="576"/>
      <c r="M96" s="576"/>
      <c r="N96" s="576"/>
      <c r="O96" s="576"/>
      <c r="P96" s="576"/>
      <c r="Q96" s="576"/>
      <c r="R96" s="576"/>
      <c r="S96" s="576"/>
      <c r="T96" s="576"/>
      <c r="U96" s="576"/>
      <c r="V96" s="576"/>
      <c r="W96" s="576"/>
      <c r="X96" s="576"/>
      <c r="Y96" s="576"/>
      <c r="Z96" s="576"/>
      <c r="AA96" s="98"/>
      <c r="AB96" s="98"/>
      <c r="AC96" s="98"/>
      <c r="AD96" s="98"/>
      <c r="AE96" s="98"/>
      <c r="AF96" s="98"/>
      <c r="AG96" s="576"/>
      <c r="AH96" s="576"/>
      <c r="AI96" s="576"/>
      <c r="AJ96" s="576"/>
      <c r="AK96" s="576"/>
      <c r="AL96" s="576"/>
      <c r="AM96" s="576"/>
      <c r="AN96" s="576"/>
      <c r="AO96" s="576"/>
      <c r="AP96" s="576"/>
      <c r="AQ96" s="576"/>
      <c r="AR96" s="576"/>
      <c r="AS96" s="576"/>
      <c r="AT96" s="576"/>
      <c r="AU96" s="576"/>
      <c r="AV96" s="576"/>
      <c r="AW96" s="576"/>
      <c r="AX96" s="576"/>
      <c r="AY96" s="576"/>
      <c r="AZ96" s="576"/>
      <c r="BA96" s="576"/>
      <c r="BB96" s="576"/>
      <c r="BC96" s="576"/>
      <c r="BD96" s="576"/>
      <c r="BE96" s="577"/>
    </row>
    <row r="97" spans="1:57" x14ac:dyDescent="0.2">
      <c r="A97" s="576"/>
      <c r="B97" s="98"/>
      <c r="C97" s="98"/>
      <c r="D97" s="98"/>
      <c r="E97" s="98"/>
      <c r="F97" s="98"/>
      <c r="G97" s="576"/>
      <c r="H97" s="576"/>
      <c r="I97" s="576"/>
      <c r="J97" s="576"/>
      <c r="K97" s="576"/>
      <c r="L97" s="576"/>
      <c r="M97" s="576"/>
      <c r="N97" s="576"/>
      <c r="O97" s="576"/>
      <c r="P97" s="576"/>
      <c r="Q97" s="576"/>
      <c r="R97" s="576"/>
      <c r="S97" s="576"/>
      <c r="T97" s="576"/>
      <c r="U97" s="576"/>
      <c r="V97" s="576"/>
      <c r="W97" s="576"/>
      <c r="X97" s="576"/>
      <c r="Y97" s="576"/>
      <c r="Z97" s="576"/>
      <c r="AA97" s="98"/>
      <c r="AB97" s="98"/>
      <c r="AC97" s="98"/>
      <c r="AD97" s="98"/>
      <c r="AE97" s="98"/>
      <c r="AF97" s="98"/>
      <c r="AG97" s="576"/>
      <c r="AH97" s="576"/>
      <c r="AI97" s="576"/>
      <c r="AJ97" s="576"/>
      <c r="AK97" s="576"/>
      <c r="AL97" s="576"/>
      <c r="AM97" s="576"/>
      <c r="AN97" s="576"/>
      <c r="AO97" s="576"/>
      <c r="AP97" s="576"/>
      <c r="AQ97" s="576"/>
      <c r="AR97" s="576"/>
      <c r="AS97" s="576"/>
      <c r="AT97" s="576"/>
      <c r="AU97" s="576"/>
      <c r="AV97" s="576"/>
      <c r="AW97" s="576"/>
      <c r="AX97" s="576"/>
      <c r="AY97" s="576"/>
      <c r="AZ97" s="576"/>
      <c r="BA97" s="576"/>
      <c r="BB97" s="576"/>
      <c r="BC97" s="576"/>
      <c r="BD97" s="576"/>
      <c r="BE97" s="577"/>
    </row>
    <row r="98" spans="1:57" x14ac:dyDescent="0.2">
      <c r="A98" s="576"/>
      <c r="B98" s="98"/>
      <c r="C98" s="98"/>
      <c r="D98" s="98"/>
      <c r="E98" s="98"/>
      <c r="F98" s="98"/>
      <c r="G98" s="576"/>
      <c r="H98" s="576"/>
      <c r="I98" s="576"/>
      <c r="J98" s="576"/>
      <c r="K98" s="576"/>
      <c r="L98" s="576"/>
      <c r="M98" s="576"/>
      <c r="N98" s="576"/>
      <c r="O98" s="576"/>
      <c r="P98" s="576"/>
      <c r="Q98" s="576"/>
      <c r="R98" s="576"/>
      <c r="S98" s="576"/>
      <c r="T98" s="576"/>
      <c r="U98" s="576"/>
      <c r="V98" s="576"/>
      <c r="W98" s="576"/>
      <c r="X98" s="576"/>
      <c r="Y98" s="576"/>
      <c r="Z98" s="576"/>
      <c r="AA98" s="98"/>
      <c r="AB98" s="98"/>
      <c r="AC98" s="98"/>
      <c r="AD98" s="98"/>
      <c r="AE98" s="98"/>
      <c r="AF98" s="98"/>
      <c r="AG98" s="576"/>
      <c r="AH98" s="576"/>
      <c r="AI98" s="576"/>
      <c r="AJ98" s="576"/>
      <c r="AK98" s="576"/>
      <c r="AL98" s="576"/>
      <c r="AM98" s="576"/>
      <c r="AN98" s="576"/>
      <c r="AO98" s="576"/>
      <c r="AP98" s="576"/>
      <c r="AQ98" s="576"/>
      <c r="AR98" s="576"/>
      <c r="AS98" s="576"/>
      <c r="AT98" s="576"/>
      <c r="AU98" s="576"/>
      <c r="AV98" s="576"/>
      <c r="AW98" s="576"/>
      <c r="AX98" s="576"/>
      <c r="AY98" s="576"/>
      <c r="AZ98" s="576"/>
      <c r="BA98" s="576"/>
      <c r="BB98" s="576"/>
      <c r="BC98" s="576"/>
      <c r="BD98" s="576"/>
      <c r="BE98" s="577"/>
    </row>
    <row r="99" spans="1:57" x14ac:dyDescent="0.2">
      <c r="A99" s="576"/>
      <c r="B99" s="98"/>
      <c r="C99" s="98"/>
      <c r="D99" s="98"/>
      <c r="E99" s="98"/>
      <c r="F99" s="98"/>
      <c r="G99" s="576"/>
      <c r="H99" s="576"/>
      <c r="I99" s="576"/>
      <c r="J99" s="576"/>
      <c r="K99" s="576"/>
      <c r="L99" s="576"/>
      <c r="M99" s="576"/>
      <c r="N99" s="576"/>
      <c r="O99" s="576"/>
      <c r="P99" s="576"/>
      <c r="Q99" s="576"/>
      <c r="R99" s="576"/>
      <c r="S99" s="576"/>
      <c r="T99" s="576"/>
      <c r="U99" s="576"/>
      <c r="V99" s="576"/>
      <c r="W99" s="576"/>
      <c r="X99" s="576"/>
      <c r="Y99" s="576"/>
      <c r="Z99" s="576"/>
      <c r="AA99" s="98"/>
      <c r="AB99" s="98"/>
      <c r="AC99" s="98"/>
      <c r="AD99" s="98"/>
      <c r="AE99" s="98"/>
      <c r="AF99" s="98"/>
      <c r="AG99" s="576"/>
      <c r="AH99" s="576"/>
      <c r="AI99" s="576"/>
      <c r="AJ99" s="576"/>
      <c r="AK99" s="576"/>
      <c r="AL99" s="576"/>
      <c r="AM99" s="576"/>
      <c r="AN99" s="576"/>
      <c r="AO99" s="576"/>
      <c r="AP99" s="576"/>
      <c r="AQ99" s="576"/>
      <c r="AR99" s="576"/>
      <c r="AS99" s="576"/>
      <c r="AT99" s="576"/>
      <c r="AU99" s="576"/>
      <c r="AV99" s="576"/>
      <c r="AW99" s="576"/>
      <c r="AX99" s="576"/>
      <c r="AY99" s="576"/>
      <c r="AZ99" s="576"/>
      <c r="BA99" s="576"/>
      <c r="BB99" s="576"/>
      <c r="BC99" s="576"/>
      <c r="BD99" s="576"/>
      <c r="BE99" s="577"/>
    </row>
    <row r="100" spans="1:57" x14ac:dyDescent="0.2">
      <c r="A100" s="576"/>
      <c r="B100" s="98"/>
      <c r="C100" s="98"/>
      <c r="D100" s="98"/>
      <c r="E100" s="98"/>
      <c r="F100" s="98"/>
      <c r="G100" s="576"/>
      <c r="H100" s="576"/>
      <c r="I100" s="576"/>
      <c r="J100" s="576"/>
      <c r="K100" s="576"/>
      <c r="L100" s="576"/>
      <c r="M100" s="576"/>
      <c r="N100" s="576"/>
      <c r="O100" s="576"/>
      <c r="P100" s="576"/>
      <c r="Q100" s="576"/>
      <c r="R100" s="576"/>
      <c r="S100" s="576"/>
      <c r="T100" s="576"/>
      <c r="U100" s="576"/>
      <c r="V100" s="576"/>
      <c r="W100" s="576"/>
      <c r="X100" s="576"/>
      <c r="Y100" s="576"/>
      <c r="Z100" s="576"/>
      <c r="AA100" s="98"/>
      <c r="AB100" s="98"/>
      <c r="AC100" s="98"/>
      <c r="AD100" s="98"/>
      <c r="AE100" s="98"/>
      <c r="AF100" s="98"/>
      <c r="AG100" s="576"/>
      <c r="AH100" s="576"/>
      <c r="AI100" s="576"/>
      <c r="AJ100" s="576"/>
      <c r="AK100" s="576"/>
      <c r="AL100" s="576"/>
      <c r="AM100" s="576"/>
      <c r="AN100" s="576"/>
      <c r="AO100" s="576"/>
      <c r="AP100" s="576"/>
      <c r="AQ100" s="576"/>
      <c r="AR100" s="576"/>
      <c r="AS100" s="576"/>
      <c r="AT100" s="576"/>
      <c r="AU100" s="576"/>
      <c r="AV100" s="576"/>
      <c r="AW100" s="576"/>
      <c r="AX100" s="576"/>
      <c r="AY100" s="576"/>
      <c r="AZ100" s="576"/>
      <c r="BA100" s="576"/>
      <c r="BB100" s="576"/>
      <c r="BC100" s="576"/>
      <c r="BD100" s="576"/>
      <c r="BE100" s="577"/>
    </row>
    <row r="101" spans="1:57" x14ac:dyDescent="0.2">
      <c r="A101" s="576"/>
      <c r="B101" s="98"/>
      <c r="C101" s="98"/>
      <c r="D101" s="98"/>
      <c r="E101" s="98"/>
      <c r="F101" s="98"/>
      <c r="G101" s="576"/>
      <c r="H101" s="576"/>
      <c r="I101" s="576"/>
      <c r="J101" s="576"/>
      <c r="K101" s="576"/>
      <c r="L101" s="576"/>
      <c r="M101" s="576"/>
      <c r="N101" s="576"/>
      <c r="O101" s="576"/>
      <c r="P101" s="576"/>
      <c r="Q101" s="576"/>
      <c r="R101" s="576"/>
      <c r="S101" s="576"/>
      <c r="T101" s="576"/>
      <c r="U101" s="576"/>
      <c r="V101" s="576"/>
      <c r="W101" s="576"/>
      <c r="X101" s="576"/>
      <c r="Y101" s="576"/>
      <c r="Z101" s="576"/>
      <c r="AA101" s="98"/>
      <c r="AB101" s="98"/>
      <c r="AC101" s="98"/>
      <c r="AD101" s="98"/>
      <c r="AE101" s="98"/>
      <c r="AF101" s="98"/>
      <c r="AG101" s="576"/>
      <c r="AH101" s="576"/>
      <c r="AI101" s="576"/>
      <c r="AJ101" s="576"/>
      <c r="AK101" s="576"/>
      <c r="AL101" s="576"/>
      <c r="AM101" s="576"/>
      <c r="AN101" s="576"/>
      <c r="AO101" s="576"/>
      <c r="AP101" s="576"/>
      <c r="AQ101" s="576"/>
      <c r="AR101" s="576"/>
      <c r="AS101" s="576"/>
      <c r="AT101" s="576"/>
      <c r="AU101" s="576"/>
      <c r="AV101" s="576"/>
      <c r="AW101" s="576"/>
      <c r="AX101" s="576"/>
      <c r="AY101" s="576"/>
      <c r="AZ101" s="576"/>
      <c r="BA101" s="576"/>
      <c r="BB101" s="576"/>
      <c r="BC101" s="576"/>
      <c r="BD101" s="576"/>
      <c r="BE101" s="577"/>
    </row>
    <row r="102" spans="1:57" x14ac:dyDescent="0.2">
      <c r="A102" s="576"/>
      <c r="B102" s="98"/>
      <c r="C102" s="98"/>
      <c r="D102" s="98"/>
      <c r="E102" s="98"/>
      <c r="F102" s="98"/>
      <c r="G102" s="576"/>
      <c r="H102" s="576"/>
      <c r="I102" s="576"/>
      <c r="J102" s="576"/>
      <c r="K102" s="576"/>
      <c r="L102" s="576"/>
      <c r="M102" s="576"/>
      <c r="N102" s="576"/>
      <c r="O102" s="576"/>
      <c r="P102" s="576"/>
      <c r="Q102" s="576"/>
      <c r="R102" s="576"/>
      <c r="S102" s="576"/>
      <c r="T102" s="576"/>
      <c r="U102" s="576"/>
      <c r="V102" s="576"/>
      <c r="W102" s="576"/>
      <c r="X102" s="576"/>
      <c r="Y102" s="576"/>
      <c r="Z102" s="576"/>
      <c r="AA102" s="98"/>
      <c r="AB102" s="98"/>
      <c r="AC102" s="98"/>
      <c r="AD102" s="98"/>
      <c r="AE102" s="98"/>
      <c r="AF102" s="98"/>
      <c r="AG102" s="576"/>
      <c r="AH102" s="576"/>
      <c r="AI102" s="576"/>
      <c r="AJ102" s="576"/>
      <c r="AK102" s="576"/>
      <c r="AL102" s="576"/>
      <c r="AM102" s="576"/>
      <c r="AN102" s="576"/>
      <c r="AO102" s="576"/>
      <c r="AP102" s="576"/>
      <c r="AQ102" s="576"/>
      <c r="AR102" s="576"/>
      <c r="AS102" s="576"/>
      <c r="AT102" s="576"/>
      <c r="AU102" s="576"/>
      <c r="AV102" s="576"/>
      <c r="AW102" s="576"/>
      <c r="AX102" s="576"/>
      <c r="AY102" s="576"/>
      <c r="AZ102" s="576"/>
      <c r="BA102" s="576"/>
      <c r="BB102" s="576"/>
      <c r="BC102" s="576"/>
      <c r="BD102" s="576"/>
      <c r="BE102" s="577"/>
    </row>
    <row r="103" spans="1:57" x14ac:dyDescent="0.2">
      <c r="A103" s="576"/>
      <c r="B103" s="98"/>
      <c r="C103" s="98"/>
      <c r="D103" s="98"/>
      <c r="E103" s="98"/>
      <c r="F103" s="98"/>
      <c r="G103" s="576"/>
      <c r="H103" s="576"/>
      <c r="I103" s="576"/>
      <c r="J103" s="576"/>
      <c r="K103" s="576"/>
      <c r="L103" s="576"/>
      <c r="M103" s="576"/>
      <c r="N103" s="576"/>
      <c r="O103" s="576"/>
      <c r="P103" s="576"/>
      <c r="Q103" s="576"/>
      <c r="R103" s="576"/>
      <c r="S103" s="576"/>
      <c r="T103" s="576"/>
      <c r="U103" s="576"/>
      <c r="V103" s="576"/>
      <c r="W103" s="576"/>
      <c r="X103" s="576"/>
      <c r="Y103" s="576"/>
      <c r="Z103" s="576"/>
      <c r="AA103" s="98"/>
      <c r="AB103" s="98"/>
      <c r="AC103" s="98"/>
      <c r="AD103" s="98"/>
      <c r="AE103" s="98"/>
      <c r="AF103" s="98"/>
      <c r="AG103" s="576"/>
      <c r="AH103" s="576"/>
      <c r="AI103" s="576"/>
      <c r="AJ103" s="576"/>
      <c r="AK103" s="576"/>
      <c r="AL103" s="576"/>
      <c r="AM103" s="576"/>
      <c r="AN103" s="576"/>
      <c r="AO103" s="576"/>
      <c r="AP103" s="576"/>
      <c r="AQ103" s="576"/>
      <c r="AR103" s="576"/>
      <c r="AS103" s="576"/>
      <c r="AT103" s="576"/>
      <c r="AU103" s="576"/>
      <c r="AV103" s="576"/>
      <c r="AW103" s="576"/>
      <c r="AX103" s="576"/>
      <c r="AY103" s="576"/>
      <c r="AZ103" s="576"/>
      <c r="BA103" s="576"/>
      <c r="BB103" s="576"/>
      <c r="BC103" s="576"/>
      <c r="BD103" s="576"/>
      <c r="BE103" s="577"/>
    </row>
    <row r="104" spans="1:57" x14ac:dyDescent="0.2">
      <c r="A104" s="576"/>
      <c r="B104" s="98"/>
      <c r="C104" s="98"/>
      <c r="D104" s="98"/>
      <c r="E104" s="98"/>
      <c r="F104" s="98"/>
      <c r="G104" s="576"/>
      <c r="H104" s="576"/>
      <c r="I104" s="576"/>
      <c r="J104" s="576"/>
      <c r="K104" s="576"/>
      <c r="L104" s="576"/>
      <c r="M104" s="576"/>
      <c r="N104" s="576"/>
      <c r="O104" s="576"/>
      <c r="P104" s="576"/>
      <c r="Q104" s="576"/>
      <c r="R104" s="576"/>
      <c r="S104" s="576"/>
      <c r="T104" s="576"/>
      <c r="U104" s="576"/>
      <c r="V104" s="576"/>
      <c r="W104" s="576"/>
      <c r="X104" s="576"/>
      <c r="Y104" s="576"/>
      <c r="Z104" s="576"/>
      <c r="AA104" s="98"/>
      <c r="AB104" s="98"/>
      <c r="AC104" s="98"/>
      <c r="AD104" s="98"/>
      <c r="AE104" s="98"/>
      <c r="AF104" s="98"/>
      <c r="AG104" s="576"/>
      <c r="AH104" s="576"/>
      <c r="AI104" s="576"/>
      <c r="AJ104" s="576"/>
      <c r="AK104" s="576"/>
      <c r="AL104" s="576"/>
      <c r="AM104" s="576"/>
      <c r="AN104" s="576"/>
      <c r="AO104" s="576"/>
      <c r="AP104" s="576"/>
      <c r="AQ104" s="576"/>
      <c r="AR104" s="576"/>
      <c r="AS104" s="576"/>
      <c r="AT104" s="576"/>
      <c r="AU104" s="576"/>
      <c r="AV104" s="576"/>
      <c r="AW104" s="576"/>
      <c r="AX104" s="576"/>
      <c r="AY104" s="576"/>
      <c r="AZ104" s="576"/>
      <c r="BA104" s="576"/>
      <c r="BB104" s="576"/>
      <c r="BC104" s="576"/>
      <c r="BD104" s="576"/>
      <c r="BE104" s="577"/>
    </row>
    <row r="105" spans="1:57" x14ac:dyDescent="0.2">
      <c r="A105" s="576"/>
      <c r="B105" s="98"/>
      <c r="C105" s="98"/>
      <c r="D105" s="98"/>
      <c r="E105" s="98"/>
      <c r="F105" s="98"/>
      <c r="G105" s="576"/>
      <c r="H105" s="576"/>
      <c r="I105" s="576"/>
      <c r="J105" s="576"/>
      <c r="K105" s="576"/>
      <c r="L105" s="576"/>
      <c r="M105" s="576"/>
      <c r="N105" s="576"/>
      <c r="O105" s="576"/>
      <c r="P105" s="576"/>
      <c r="Q105" s="576"/>
      <c r="R105" s="576"/>
      <c r="S105" s="576"/>
      <c r="T105" s="576"/>
      <c r="U105" s="576"/>
      <c r="V105" s="576"/>
      <c r="W105" s="576"/>
      <c r="X105" s="576"/>
      <c r="Y105" s="576"/>
      <c r="Z105" s="576"/>
      <c r="AA105" s="98"/>
      <c r="AB105" s="98"/>
      <c r="AC105" s="98"/>
      <c r="AD105" s="98"/>
      <c r="AE105" s="98"/>
      <c r="AF105" s="98"/>
      <c r="AG105" s="576"/>
      <c r="AH105" s="576"/>
      <c r="AI105" s="576"/>
      <c r="AJ105" s="576"/>
      <c r="AK105" s="576"/>
      <c r="AL105" s="576"/>
      <c r="AM105" s="576"/>
      <c r="AN105" s="576"/>
      <c r="AO105" s="576"/>
      <c r="AP105" s="576"/>
      <c r="AQ105" s="576"/>
      <c r="AR105" s="576"/>
      <c r="AS105" s="576"/>
      <c r="AT105" s="576"/>
      <c r="AU105" s="576"/>
      <c r="AV105" s="576"/>
      <c r="AW105" s="576"/>
      <c r="AX105" s="576"/>
      <c r="AY105" s="576"/>
      <c r="AZ105" s="576"/>
      <c r="BA105" s="576"/>
      <c r="BB105" s="576"/>
      <c r="BC105" s="576"/>
      <c r="BD105" s="576"/>
      <c r="BE105" s="577"/>
    </row>
    <row r="106" spans="1:57" x14ac:dyDescent="0.2">
      <c r="A106" s="576"/>
      <c r="B106" s="98"/>
      <c r="C106" s="98"/>
      <c r="D106" s="98"/>
      <c r="E106" s="98"/>
      <c r="F106" s="98"/>
      <c r="G106" s="576"/>
      <c r="H106" s="576"/>
      <c r="I106" s="576"/>
      <c r="J106" s="576"/>
      <c r="K106" s="576"/>
      <c r="L106" s="576"/>
      <c r="M106" s="576"/>
      <c r="N106" s="576"/>
      <c r="O106" s="576"/>
      <c r="P106" s="576"/>
      <c r="Q106" s="576"/>
      <c r="R106" s="576"/>
      <c r="S106" s="576"/>
      <c r="T106" s="576"/>
      <c r="U106" s="576"/>
      <c r="V106" s="576"/>
      <c r="W106" s="576"/>
      <c r="X106" s="576"/>
      <c r="Y106" s="576"/>
      <c r="Z106" s="576"/>
      <c r="AA106" s="98"/>
      <c r="AB106" s="98"/>
      <c r="AC106" s="98"/>
      <c r="AD106" s="98"/>
      <c r="AE106" s="98"/>
      <c r="AF106" s="98"/>
      <c r="AG106" s="576"/>
      <c r="AH106" s="576"/>
      <c r="AI106" s="576"/>
      <c r="AJ106" s="576"/>
      <c r="AK106" s="576"/>
      <c r="AL106" s="576"/>
      <c r="AM106" s="576"/>
      <c r="AN106" s="576"/>
      <c r="AO106" s="576"/>
      <c r="AP106" s="576"/>
      <c r="AQ106" s="576"/>
      <c r="AR106" s="576"/>
      <c r="AS106" s="576"/>
      <c r="AT106" s="576"/>
      <c r="AU106" s="576"/>
      <c r="AV106" s="576"/>
      <c r="AW106" s="576"/>
      <c r="AX106" s="576"/>
      <c r="AY106" s="576"/>
      <c r="AZ106" s="576"/>
      <c r="BA106" s="576"/>
      <c r="BB106" s="576"/>
      <c r="BC106" s="576"/>
      <c r="BD106" s="576"/>
      <c r="BE106" s="577"/>
    </row>
    <row r="107" spans="1:57" x14ac:dyDescent="0.2">
      <c r="A107" s="576"/>
      <c r="B107" s="98"/>
      <c r="C107" s="98"/>
      <c r="D107" s="98"/>
      <c r="E107" s="98"/>
      <c r="F107" s="98"/>
      <c r="G107" s="576"/>
      <c r="H107" s="576"/>
      <c r="I107" s="576"/>
      <c r="J107" s="576"/>
      <c r="K107" s="576"/>
      <c r="L107" s="576"/>
      <c r="M107" s="576"/>
      <c r="N107" s="576"/>
      <c r="O107" s="576"/>
      <c r="P107" s="576"/>
      <c r="Q107" s="576"/>
      <c r="R107" s="576"/>
      <c r="S107" s="576"/>
      <c r="T107" s="576"/>
      <c r="U107" s="576"/>
      <c r="V107" s="576"/>
      <c r="W107" s="576"/>
      <c r="X107" s="576"/>
      <c r="Y107" s="576"/>
      <c r="Z107" s="576"/>
      <c r="AA107" s="98"/>
      <c r="AB107" s="98"/>
      <c r="AC107" s="98"/>
      <c r="AD107" s="98"/>
      <c r="AE107" s="98"/>
      <c r="AF107" s="98"/>
      <c r="AG107" s="576"/>
      <c r="AH107" s="576"/>
      <c r="AI107" s="576"/>
      <c r="AJ107" s="576"/>
      <c r="AK107" s="576"/>
      <c r="AL107" s="576"/>
      <c r="AM107" s="576"/>
      <c r="AN107" s="576"/>
      <c r="AO107" s="576"/>
      <c r="AP107" s="576"/>
      <c r="AQ107" s="576"/>
      <c r="AR107" s="576"/>
      <c r="AS107" s="576"/>
      <c r="AT107" s="576"/>
      <c r="AU107" s="576"/>
      <c r="AV107" s="576"/>
      <c r="AW107" s="576"/>
      <c r="AX107" s="576"/>
      <c r="AY107" s="576"/>
      <c r="AZ107" s="576"/>
      <c r="BA107" s="576"/>
      <c r="BB107" s="576"/>
      <c r="BC107" s="576"/>
      <c r="BD107" s="576"/>
      <c r="BE107" s="577"/>
    </row>
    <row r="108" spans="1:57" x14ac:dyDescent="0.2">
      <c r="A108" s="576"/>
      <c r="B108" s="98"/>
      <c r="C108" s="98"/>
      <c r="D108" s="98"/>
      <c r="E108" s="98"/>
      <c r="F108" s="98"/>
      <c r="G108" s="576"/>
      <c r="H108" s="576"/>
      <c r="I108" s="576"/>
      <c r="J108" s="576"/>
      <c r="K108" s="576"/>
      <c r="L108" s="576"/>
      <c r="M108" s="576"/>
      <c r="N108" s="576"/>
      <c r="O108" s="576"/>
      <c r="P108" s="576"/>
      <c r="Q108" s="576"/>
      <c r="R108" s="576"/>
      <c r="S108" s="576"/>
      <c r="T108" s="576"/>
      <c r="U108" s="576"/>
      <c r="V108" s="576"/>
      <c r="W108" s="576"/>
      <c r="X108" s="576"/>
      <c r="Y108" s="576"/>
      <c r="Z108" s="576"/>
      <c r="AA108" s="98"/>
      <c r="AB108" s="98"/>
      <c r="AC108" s="98"/>
      <c r="AD108" s="98"/>
      <c r="AE108" s="98"/>
      <c r="AF108" s="98"/>
      <c r="AG108" s="576"/>
      <c r="AH108" s="576"/>
      <c r="AI108" s="576"/>
      <c r="AJ108" s="576"/>
      <c r="AK108" s="576"/>
      <c r="AL108" s="576"/>
      <c r="AM108" s="576"/>
      <c r="AN108" s="576"/>
      <c r="AO108" s="576"/>
      <c r="AP108" s="576"/>
      <c r="AQ108" s="576"/>
      <c r="AR108" s="576"/>
      <c r="AS108" s="576"/>
      <c r="AT108" s="576"/>
      <c r="AU108" s="576"/>
      <c r="AV108" s="576"/>
      <c r="AW108" s="576"/>
      <c r="AX108" s="576"/>
      <c r="AY108" s="576"/>
      <c r="AZ108" s="576"/>
      <c r="BA108" s="576"/>
      <c r="BB108" s="576"/>
      <c r="BC108" s="576"/>
      <c r="BD108" s="576"/>
      <c r="BE108" s="577"/>
    </row>
    <row r="109" spans="1:57" x14ac:dyDescent="0.2">
      <c r="A109" s="576"/>
      <c r="B109" s="98"/>
      <c r="C109" s="98"/>
      <c r="D109" s="98"/>
      <c r="E109" s="98"/>
      <c r="F109" s="98"/>
      <c r="G109" s="576"/>
      <c r="H109" s="576"/>
      <c r="I109" s="576"/>
      <c r="J109" s="576"/>
      <c r="K109" s="576"/>
      <c r="L109" s="576"/>
      <c r="M109" s="576"/>
      <c r="N109" s="576"/>
      <c r="O109" s="576"/>
      <c r="P109" s="576"/>
      <c r="Q109" s="576"/>
      <c r="R109" s="576"/>
      <c r="S109" s="576"/>
      <c r="T109" s="576"/>
      <c r="U109" s="576"/>
      <c r="V109" s="576"/>
      <c r="W109" s="576"/>
      <c r="X109" s="576"/>
      <c r="Y109" s="576"/>
      <c r="Z109" s="576"/>
      <c r="AA109" s="98"/>
      <c r="AB109" s="98"/>
      <c r="AC109" s="98"/>
      <c r="AD109" s="98"/>
      <c r="AE109" s="98"/>
      <c r="AF109" s="98"/>
      <c r="AG109" s="576"/>
      <c r="AH109" s="576"/>
      <c r="AI109" s="576"/>
      <c r="AJ109" s="576"/>
      <c r="AK109" s="576"/>
      <c r="AL109" s="576"/>
      <c r="AM109" s="576"/>
      <c r="AN109" s="576"/>
      <c r="AO109" s="576"/>
      <c r="AP109" s="576"/>
      <c r="AQ109" s="576"/>
      <c r="AR109" s="576"/>
      <c r="AS109" s="576"/>
      <c r="AT109" s="576"/>
      <c r="AU109" s="576"/>
      <c r="AV109" s="576"/>
      <c r="AW109" s="576"/>
      <c r="AX109" s="576"/>
      <c r="AY109" s="576"/>
      <c r="AZ109" s="576"/>
      <c r="BA109" s="576"/>
      <c r="BB109" s="576"/>
      <c r="BC109" s="576"/>
      <c r="BD109" s="576"/>
      <c r="BE109" s="577"/>
    </row>
    <row r="110" spans="1:57" x14ac:dyDescent="0.2">
      <c r="A110" s="576"/>
      <c r="B110" s="98"/>
      <c r="C110" s="98"/>
      <c r="D110" s="98"/>
      <c r="E110" s="98"/>
      <c r="F110" s="98"/>
      <c r="G110" s="576"/>
      <c r="H110" s="576"/>
      <c r="I110" s="576"/>
      <c r="J110" s="576"/>
      <c r="K110" s="576"/>
      <c r="L110" s="576"/>
      <c r="M110" s="576"/>
      <c r="N110" s="576"/>
      <c r="O110" s="576"/>
      <c r="P110" s="576"/>
      <c r="Q110" s="576"/>
      <c r="R110" s="576"/>
      <c r="S110" s="576"/>
      <c r="T110" s="576"/>
      <c r="U110" s="576"/>
      <c r="V110" s="576"/>
      <c r="W110" s="576"/>
      <c r="X110" s="576"/>
      <c r="Y110" s="576"/>
      <c r="Z110" s="576"/>
      <c r="AA110" s="98"/>
      <c r="AB110" s="98"/>
      <c r="AC110" s="98"/>
      <c r="AD110" s="98"/>
      <c r="AE110" s="98"/>
      <c r="AF110" s="98"/>
      <c r="AG110" s="576"/>
      <c r="AH110" s="576"/>
      <c r="AI110" s="576"/>
      <c r="AJ110" s="576"/>
      <c r="AK110" s="576"/>
      <c r="AL110" s="576"/>
      <c r="AM110" s="576"/>
      <c r="AN110" s="576"/>
      <c r="AO110" s="576"/>
      <c r="AP110" s="576"/>
      <c r="AQ110" s="576"/>
      <c r="AR110" s="576"/>
      <c r="AS110" s="576"/>
      <c r="AT110" s="576"/>
      <c r="AU110" s="576"/>
      <c r="AV110" s="576"/>
      <c r="AW110" s="576"/>
      <c r="AX110" s="576"/>
      <c r="AY110" s="576"/>
      <c r="AZ110" s="576"/>
      <c r="BA110" s="576"/>
      <c r="BB110" s="576"/>
      <c r="BC110" s="576"/>
      <c r="BD110" s="576"/>
      <c r="BE110" s="577"/>
    </row>
    <row r="111" spans="1:57" x14ac:dyDescent="0.2">
      <c r="A111" s="576"/>
      <c r="B111" s="98"/>
      <c r="C111" s="98"/>
      <c r="D111" s="98"/>
      <c r="E111" s="98"/>
      <c r="F111" s="98"/>
      <c r="G111" s="576"/>
      <c r="H111" s="576"/>
      <c r="I111" s="576"/>
      <c r="J111" s="576"/>
      <c r="K111" s="576"/>
      <c r="L111" s="576"/>
      <c r="M111" s="576"/>
      <c r="N111" s="576"/>
      <c r="O111" s="576"/>
      <c r="P111" s="576"/>
      <c r="Q111" s="576"/>
      <c r="R111" s="576"/>
      <c r="S111" s="576"/>
      <c r="T111" s="576"/>
      <c r="U111" s="576"/>
      <c r="V111" s="576"/>
      <c r="W111" s="576"/>
      <c r="X111" s="576"/>
      <c r="Y111" s="576"/>
      <c r="Z111" s="576"/>
      <c r="AA111" s="98"/>
      <c r="AB111" s="98"/>
      <c r="AC111" s="98"/>
      <c r="AD111" s="98"/>
      <c r="AE111" s="98"/>
      <c r="AF111" s="98"/>
      <c r="AG111" s="576"/>
      <c r="AH111" s="576"/>
      <c r="AI111" s="576"/>
      <c r="AJ111" s="576"/>
      <c r="AK111" s="576"/>
      <c r="AL111" s="576"/>
      <c r="AM111" s="576"/>
      <c r="AN111" s="576"/>
      <c r="AO111" s="576"/>
      <c r="AP111" s="576"/>
      <c r="AQ111" s="576"/>
      <c r="AR111" s="576"/>
      <c r="AS111" s="576"/>
      <c r="AT111" s="576"/>
      <c r="AU111" s="576"/>
      <c r="AV111" s="576"/>
      <c r="AW111" s="576"/>
      <c r="AX111" s="576"/>
      <c r="AY111" s="576"/>
      <c r="AZ111" s="576"/>
      <c r="BA111" s="576"/>
      <c r="BB111" s="576"/>
      <c r="BC111" s="576"/>
      <c r="BD111" s="576"/>
      <c r="BE111" s="577"/>
    </row>
    <row r="112" spans="1:57" x14ac:dyDescent="0.2">
      <c r="A112" s="576"/>
      <c r="B112" s="98"/>
      <c r="C112" s="98"/>
      <c r="D112" s="98"/>
      <c r="E112" s="98"/>
      <c r="F112" s="98"/>
      <c r="G112" s="576"/>
      <c r="H112" s="576"/>
      <c r="I112" s="576"/>
      <c r="J112" s="576"/>
      <c r="K112" s="576"/>
      <c r="L112" s="576"/>
      <c r="M112" s="576"/>
      <c r="N112" s="576"/>
      <c r="O112" s="576"/>
      <c r="P112" s="576"/>
      <c r="Q112" s="576"/>
      <c r="R112" s="576"/>
      <c r="S112" s="576"/>
      <c r="T112" s="576"/>
      <c r="U112" s="576"/>
      <c r="V112" s="576"/>
      <c r="W112" s="576"/>
      <c r="X112" s="576"/>
      <c r="Y112" s="576"/>
      <c r="Z112" s="576"/>
      <c r="AA112" s="98"/>
      <c r="AB112" s="98"/>
      <c r="AC112" s="98"/>
      <c r="AD112" s="98"/>
      <c r="AE112" s="98"/>
      <c r="AF112" s="98"/>
      <c r="AG112" s="576"/>
      <c r="AH112" s="576"/>
      <c r="AI112" s="576"/>
      <c r="AJ112" s="576"/>
      <c r="AK112" s="576"/>
      <c r="AL112" s="576"/>
      <c r="AM112" s="576"/>
      <c r="AN112" s="576"/>
      <c r="AO112" s="576"/>
      <c r="AP112" s="576"/>
      <c r="AQ112" s="576"/>
      <c r="AR112" s="576"/>
      <c r="AS112" s="576"/>
      <c r="AT112" s="576"/>
      <c r="AU112" s="576"/>
      <c r="AV112" s="576"/>
      <c r="AW112" s="576"/>
      <c r="AX112" s="576"/>
      <c r="AY112" s="576"/>
      <c r="AZ112" s="576"/>
      <c r="BA112" s="576"/>
      <c r="BB112" s="576"/>
      <c r="BC112" s="576"/>
      <c r="BD112" s="576"/>
      <c r="BE112" s="577"/>
    </row>
    <row r="113" spans="1:57" x14ac:dyDescent="0.2">
      <c r="A113" s="576"/>
      <c r="B113" s="98"/>
      <c r="C113" s="98"/>
      <c r="D113" s="98"/>
      <c r="E113" s="98"/>
      <c r="F113" s="98"/>
      <c r="G113" s="576"/>
      <c r="H113" s="576"/>
      <c r="I113" s="576"/>
      <c r="J113" s="576"/>
      <c r="K113" s="576"/>
      <c r="L113" s="576"/>
      <c r="M113" s="576"/>
      <c r="N113" s="576"/>
      <c r="O113" s="576"/>
      <c r="P113" s="576"/>
      <c r="Q113" s="576"/>
      <c r="R113" s="576"/>
      <c r="S113" s="576"/>
      <c r="T113" s="576"/>
      <c r="U113" s="576"/>
      <c r="V113" s="576"/>
      <c r="W113" s="576"/>
      <c r="X113" s="576"/>
      <c r="Y113" s="576"/>
      <c r="Z113" s="576"/>
      <c r="AA113" s="98"/>
      <c r="AB113" s="98"/>
      <c r="AC113" s="98"/>
      <c r="AD113" s="98"/>
      <c r="AE113" s="98"/>
      <c r="AF113" s="98"/>
      <c r="AG113" s="576"/>
      <c r="AH113" s="576"/>
      <c r="AI113" s="576"/>
      <c r="AJ113" s="576"/>
      <c r="AK113" s="576"/>
      <c r="AL113" s="576"/>
      <c r="AM113" s="576"/>
      <c r="AN113" s="576"/>
      <c r="AO113" s="576"/>
      <c r="AP113" s="576"/>
      <c r="AQ113" s="576"/>
      <c r="AR113" s="576"/>
      <c r="AS113" s="576"/>
      <c r="AT113" s="576"/>
      <c r="AU113" s="576"/>
      <c r="AV113" s="576"/>
      <c r="AW113" s="576"/>
      <c r="AX113" s="576"/>
      <c r="AY113" s="576"/>
      <c r="AZ113" s="576"/>
      <c r="BA113" s="576"/>
      <c r="BB113" s="576"/>
      <c r="BC113" s="576"/>
      <c r="BD113" s="576"/>
      <c r="BE113" s="577"/>
    </row>
    <row r="114" spans="1:57" x14ac:dyDescent="0.2">
      <c r="A114" s="576"/>
      <c r="B114" s="98"/>
      <c r="C114" s="98"/>
      <c r="D114" s="98"/>
      <c r="E114" s="98"/>
      <c r="F114" s="98"/>
      <c r="G114" s="576"/>
      <c r="H114" s="576"/>
      <c r="I114" s="576"/>
      <c r="J114" s="576"/>
      <c r="K114" s="576"/>
      <c r="L114" s="576"/>
      <c r="M114" s="576"/>
      <c r="N114" s="576"/>
      <c r="O114" s="576"/>
      <c r="P114" s="576"/>
      <c r="Q114" s="576"/>
      <c r="R114" s="576"/>
      <c r="S114" s="576"/>
      <c r="T114" s="576"/>
      <c r="U114" s="576"/>
      <c r="V114" s="576"/>
      <c r="W114" s="576"/>
      <c r="X114" s="576"/>
      <c r="Y114" s="576"/>
      <c r="Z114" s="576"/>
      <c r="AA114" s="98"/>
      <c r="AB114" s="98"/>
      <c r="AC114" s="98"/>
      <c r="AD114" s="98"/>
      <c r="AE114" s="98"/>
      <c r="AF114" s="98"/>
      <c r="AG114" s="576"/>
      <c r="AH114" s="576"/>
      <c r="AI114" s="576"/>
      <c r="AJ114" s="576"/>
      <c r="AK114" s="576"/>
      <c r="AL114" s="576"/>
      <c r="AM114" s="576"/>
      <c r="AN114" s="576"/>
      <c r="AO114" s="576"/>
      <c r="AP114" s="576"/>
      <c r="AQ114" s="576"/>
      <c r="AR114" s="576"/>
      <c r="AS114" s="576"/>
      <c r="AT114" s="576"/>
      <c r="AU114" s="576"/>
      <c r="AV114" s="576"/>
      <c r="AW114" s="576"/>
      <c r="AX114" s="576"/>
      <c r="AY114" s="576"/>
      <c r="AZ114" s="576"/>
      <c r="BA114" s="576"/>
      <c r="BB114" s="576"/>
      <c r="BC114" s="576"/>
      <c r="BD114" s="576"/>
      <c r="BE114" s="577"/>
    </row>
    <row r="115" spans="1:57" x14ac:dyDescent="0.2">
      <c r="A115" s="576"/>
      <c r="B115" s="98"/>
      <c r="C115" s="98"/>
      <c r="D115" s="98"/>
      <c r="E115" s="98"/>
      <c r="F115" s="98"/>
      <c r="G115" s="576"/>
      <c r="H115" s="576"/>
      <c r="I115" s="576"/>
      <c r="J115" s="576"/>
      <c r="K115" s="576"/>
      <c r="L115" s="576"/>
      <c r="M115" s="576"/>
      <c r="N115" s="576"/>
      <c r="O115" s="576"/>
      <c r="P115" s="576"/>
      <c r="Q115" s="576"/>
      <c r="R115" s="576"/>
      <c r="S115" s="576"/>
      <c r="T115" s="576"/>
      <c r="U115" s="576"/>
      <c r="V115" s="576"/>
      <c r="W115" s="576"/>
      <c r="X115" s="576"/>
      <c r="Y115" s="576"/>
      <c r="Z115" s="576"/>
      <c r="AA115" s="98"/>
      <c r="AB115" s="98"/>
      <c r="AC115" s="98"/>
      <c r="AD115" s="98"/>
      <c r="AE115" s="98"/>
      <c r="AF115" s="98"/>
      <c r="AG115" s="576"/>
      <c r="AH115" s="576"/>
      <c r="AI115" s="576"/>
      <c r="AJ115" s="576"/>
      <c r="AK115" s="576"/>
      <c r="AL115" s="576"/>
      <c r="AM115" s="576"/>
      <c r="AN115" s="576"/>
      <c r="AO115" s="576"/>
      <c r="AP115" s="576"/>
      <c r="AQ115" s="576"/>
      <c r="AR115" s="576"/>
      <c r="AS115" s="576"/>
      <c r="AT115" s="576"/>
      <c r="AU115" s="576"/>
      <c r="AV115" s="576"/>
      <c r="AW115" s="576"/>
      <c r="AX115" s="576"/>
      <c r="AY115" s="576"/>
      <c r="AZ115" s="576"/>
      <c r="BA115" s="576"/>
      <c r="BB115" s="576"/>
      <c r="BC115" s="576"/>
      <c r="BD115" s="576"/>
      <c r="BE115" s="577"/>
    </row>
    <row r="116" spans="1:57" x14ac:dyDescent="0.2">
      <c r="A116" s="576"/>
      <c r="B116" s="98"/>
      <c r="C116" s="98"/>
      <c r="D116" s="98"/>
      <c r="E116" s="98"/>
      <c r="F116" s="98"/>
      <c r="G116" s="576"/>
      <c r="H116" s="576"/>
      <c r="I116" s="576"/>
      <c r="J116" s="576"/>
      <c r="K116" s="576"/>
      <c r="L116" s="576"/>
      <c r="M116" s="576"/>
      <c r="N116" s="576"/>
      <c r="O116" s="576"/>
      <c r="P116" s="576"/>
      <c r="Q116" s="576"/>
      <c r="R116" s="576"/>
      <c r="S116" s="576"/>
      <c r="T116" s="576"/>
      <c r="U116" s="576"/>
      <c r="V116" s="576"/>
      <c r="W116" s="576"/>
      <c r="X116" s="576"/>
      <c r="Y116" s="576"/>
      <c r="Z116" s="576"/>
      <c r="AA116" s="98"/>
      <c r="AB116" s="98"/>
      <c r="AC116" s="98"/>
      <c r="AD116" s="98"/>
      <c r="AE116" s="98"/>
      <c r="AF116" s="98"/>
      <c r="AG116" s="576"/>
      <c r="AH116" s="576"/>
      <c r="AI116" s="576"/>
      <c r="AJ116" s="576"/>
      <c r="AK116" s="576"/>
      <c r="AL116" s="576"/>
      <c r="AM116" s="576"/>
      <c r="AN116" s="576"/>
      <c r="AO116" s="576"/>
      <c r="AP116" s="576"/>
      <c r="AQ116" s="576"/>
      <c r="AR116" s="576"/>
      <c r="AS116" s="576"/>
      <c r="AT116" s="576"/>
      <c r="AU116" s="576"/>
      <c r="AV116" s="576"/>
      <c r="AW116" s="576"/>
      <c r="AX116" s="576"/>
      <c r="AY116" s="576"/>
      <c r="AZ116" s="576"/>
      <c r="BA116" s="576"/>
      <c r="BB116" s="576"/>
      <c r="BC116" s="576"/>
      <c r="BD116" s="576"/>
      <c r="BE116" s="577"/>
    </row>
    <row r="117" spans="1:57" x14ac:dyDescent="0.2">
      <c r="A117" s="576"/>
      <c r="B117" s="98"/>
      <c r="C117" s="98"/>
      <c r="D117" s="98"/>
      <c r="E117" s="98"/>
      <c r="F117" s="98"/>
      <c r="G117" s="576"/>
      <c r="H117" s="576"/>
      <c r="I117" s="576"/>
      <c r="J117" s="576"/>
      <c r="K117" s="576"/>
      <c r="L117" s="576"/>
      <c r="M117" s="576"/>
      <c r="N117" s="576"/>
      <c r="O117" s="576"/>
      <c r="P117" s="576"/>
      <c r="Q117" s="576"/>
      <c r="R117" s="576"/>
      <c r="S117" s="576"/>
      <c r="T117" s="576"/>
      <c r="U117" s="576"/>
      <c r="V117" s="576"/>
      <c r="W117" s="576"/>
      <c r="X117" s="576"/>
      <c r="Y117" s="576"/>
      <c r="Z117" s="576"/>
      <c r="AA117" s="98"/>
      <c r="AB117" s="98"/>
      <c r="AC117" s="98"/>
      <c r="AD117" s="98"/>
      <c r="AE117" s="98"/>
      <c r="AF117" s="98"/>
      <c r="AG117" s="576"/>
      <c r="AH117" s="576"/>
      <c r="AI117" s="576"/>
      <c r="AJ117" s="576"/>
      <c r="AK117" s="576"/>
      <c r="AL117" s="576"/>
      <c r="AM117" s="576"/>
      <c r="AN117" s="576"/>
      <c r="AO117" s="576"/>
      <c r="AP117" s="576"/>
      <c r="AQ117" s="576"/>
      <c r="AR117" s="576"/>
      <c r="AS117" s="576"/>
      <c r="AT117" s="576"/>
      <c r="AU117" s="576"/>
      <c r="AV117" s="576"/>
      <c r="AW117" s="576"/>
      <c r="AX117" s="576"/>
      <c r="AY117" s="576"/>
      <c r="AZ117" s="576"/>
      <c r="BA117" s="576"/>
      <c r="BB117" s="576"/>
      <c r="BC117" s="576"/>
      <c r="BD117" s="576"/>
      <c r="BE117" s="577"/>
    </row>
    <row r="118" spans="1:57" x14ac:dyDescent="0.2">
      <c r="A118" s="576"/>
      <c r="B118" s="98"/>
      <c r="C118" s="98"/>
      <c r="D118" s="98"/>
      <c r="E118" s="98"/>
      <c r="F118" s="98"/>
      <c r="G118" s="576"/>
      <c r="H118" s="576"/>
      <c r="I118" s="576"/>
      <c r="J118" s="576"/>
      <c r="K118" s="576"/>
      <c r="L118" s="576"/>
      <c r="M118" s="576"/>
      <c r="N118" s="576"/>
      <c r="O118" s="576"/>
      <c r="P118" s="576"/>
      <c r="Q118" s="576"/>
      <c r="R118" s="576"/>
      <c r="S118" s="576"/>
      <c r="T118" s="576"/>
      <c r="U118" s="576"/>
      <c r="V118" s="576"/>
      <c r="W118" s="576"/>
      <c r="X118" s="576"/>
      <c r="Y118" s="576"/>
      <c r="Z118" s="576"/>
      <c r="AA118" s="98"/>
      <c r="AB118" s="98"/>
      <c r="AC118" s="98"/>
      <c r="AD118" s="98"/>
      <c r="AE118" s="98"/>
      <c r="AF118" s="98"/>
      <c r="AG118" s="576"/>
      <c r="AH118" s="576"/>
      <c r="AI118" s="576"/>
      <c r="AJ118" s="576"/>
      <c r="AK118" s="576"/>
      <c r="AL118" s="576"/>
      <c r="AM118" s="576"/>
      <c r="AN118" s="576"/>
      <c r="AO118" s="576"/>
      <c r="AP118" s="576"/>
      <c r="AQ118" s="576"/>
      <c r="AR118" s="576"/>
      <c r="AS118" s="576"/>
      <c r="AT118" s="576"/>
      <c r="AU118" s="576"/>
      <c r="AV118" s="576"/>
      <c r="AW118" s="576"/>
      <c r="AX118" s="576"/>
      <c r="AY118" s="576"/>
      <c r="AZ118" s="576"/>
      <c r="BA118" s="576"/>
      <c r="BB118" s="576"/>
      <c r="BC118" s="576"/>
      <c r="BD118" s="576"/>
      <c r="BE118" s="577"/>
    </row>
    <row r="119" spans="1:57" x14ac:dyDescent="0.2">
      <c r="A119" s="576"/>
      <c r="B119" s="98"/>
      <c r="C119" s="98"/>
      <c r="D119" s="98"/>
      <c r="E119" s="98"/>
      <c r="F119" s="98"/>
      <c r="G119" s="576"/>
      <c r="H119" s="576"/>
      <c r="I119" s="576"/>
      <c r="J119" s="576"/>
      <c r="K119" s="576"/>
      <c r="L119" s="576"/>
      <c r="M119" s="576"/>
      <c r="N119" s="576"/>
      <c r="O119" s="576"/>
      <c r="P119" s="576"/>
      <c r="Q119" s="576"/>
      <c r="R119" s="576"/>
      <c r="S119" s="576"/>
      <c r="T119" s="576"/>
      <c r="U119" s="576"/>
      <c r="V119" s="576"/>
      <c r="W119" s="576"/>
      <c r="X119" s="576"/>
      <c r="Y119" s="576"/>
      <c r="Z119" s="576"/>
      <c r="AA119" s="98"/>
      <c r="AB119" s="98"/>
      <c r="AC119" s="98"/>
      <c r="AD119" s="98"/>
      <c r="AE119" s="98"/>
      <c r="AF119" s="98"/>
      <c r="AG119" s="576"/>
      <c r="AH119" s="576"/>
      <c r="AI119" s="576"/>
      <c r="AJ119" s="576"/>
      <c r="AK119" s="576"/>
      <c r="AL119" s="576"/>
      <c r="AM119" s="576"/>
      <c r="AN119" s="576"/>
      <c r="AO119" s="576"/>
      <c r="AP119" s="576"/>
      <c r="AQ119" s="576"/>
      <c r="AR119" s="576"/>
      <c r="AS119" s="576"/>
      <c r="AT119" s="576"/>
      <c r="AU119" s="576"/>
      <c r="AV119" s="576"/>
      <c r="AW119" s="576"/>
      <c r="AX119" s="576"/>
      <c r="AY119" s="576"/>
      <c r="AZ119" s="576"/>
      <c r="BA119" s="576"/>
      <c r="BB119" s="576"/>
      <c r="BC119" s="576"/>
      <c r="BD119" s="576"/>
      <c r="BE119" s="577"/>
    </row>
    <row r="120" spans="1:57" x14ac:dyDescent="0.2">
      <c r="A120" s="576"/>
      <c r="B120" s="98"/>
      <c r="C120" s="98"/>
      <c r="D120" s="98"/>
      <c r="E120" s="98"/>
      <c r="F120" s="98"/>
      <c r="G120" s="576"/>
      <c r="H120" s="576"/>
      <c r="I120" s="576"/>
      <c r="J120" s="576"/>
      <c r="K120" s="576"/>
      <c r="L120" s="576"/>
      <c r="M120" s="576"/>
      <c r="N120" s="576"/>
      <c r="O120" s="576"/>
      <c r="P120" s="576"/>
      <c r="Q120" s="576"/>
      <c r="R120" s="576"/>
      <c r="S120" s="576"/>
      <c r="T120" s="576"/>
      <c r="U120" s="576"/>
      <c r="V120" s="576"/>
      <c r="W120" s="576"/>
      <c r="X120" s="576"/>
      <c r="Y120" s="576"/>
      <c r="Z120" s="576"/>
      <c r="AA120" s="98"/>
      <c r="AB120" s="98"/>
      <c r="AC120" s="98"/>
      <c r="AD120" s="98"/>
      <c r="AE120" s="98"/>
      <c r="AF120" s="98"/>
      <c r="AG120" s="576"/>
      <c r="AH120" s="576"/>
      <c r="AI120" s="576"/>
      <c r="AJ120" s="576"/>
      <c r="AK120" s="576"/>
      <c r="AL120" s="576"/>
      <c r="AM120" s="576"/>
      <c r="AN120" s="576"/>
      <c r="AO120" s="576"/>
      <c r="AP120" s="576"/>
      <c r="AQ120" s="576"/>
      <c r="AR120" s="576"/>
      <c r="AS120" s="576"/>
      <c r="AT120" s="576"/>
      <c r="AU120" s="576"/>
      <c r="AV120" s="576"/>
      <c r="AW120" s="576"/>
      <c r="AX120" s="576"/>
      <c r="AY120" s="576"/>
      <c r="AZ120" s="576"/>
      <c r="BA120" s="576"/>
      <c r="BB120" s="576"/>
      <c r="BC120" s="576"/>
      <c r="BD120" s="576"/>
      <c r="BE120" s="577"/>
    </row>
    <row r="121" spans="1:57" x14ac:dyDescent="0.2">
      <c r="A121" s="576"/>
      <c r="B121" s="98"/>
      <c r="C121" s="98"/>
      <c r="D121" s="98"/>
      <c r="E121" s="98"/>
      <c r="F121" s="98"/>
      <c r="G121" s="576"/>
      <c r="H121" s="576"/>
      <c r="I121" s="576"/>
      <c r="J121" s="576"/>
      <c r="K121" s="576"/>
      <c r="L121" s="576"/>
      <c r="M121" s="576"/>
      <c r="N121" s="576"/>
      <c r="O121" s="576"/>
      <c r="P121" s="576"/>
      <c r="Q121" s="576"/>
      <c r="R121" s="576"/>
      <c r="S121" s="576"/>
      <c r="T121" s="576"/>
      <c r="U121" s="576"/>
      <c r="V121" s="576"/>
      <c r="W121" s="576"/>
      <c r="X121" s="576"/>
      <c r="Y121" s="576"/>
      <c r="Z121" s="576"/>
      <c r="AA121" s="98"/>
      <c r="AB121" s="98"/>
      <c r="AC121" s="98"/>
      <c r="AD121" s="98"/>
      <c r="AE121" s="98"/>
      <c r="AF121" s="98"/>
      <c r="AG121" s="576"/>
      <c r="AH121" s="576"/>
      <c r="AI121" s="576"/>
      <c r="AJ121" s="576"/>
      <c r="AK121" s="576"/>
      <c r="AL121" s="576"/>
      <c r="AM121" s="576"/>
      <c r="AN121" s="576"/>
      <c r="AO121" s="576"/>
      <c r="AP121" s="576"/>
      <c r="AQ121" s="576"/>
      <c r="AR121" s="576"/>
      <c r="AS121" s="576"/>
      <c r="AT121" s="576"/>
      <c r="AU121" s="576"/>
      <c r="AV121" s="576"/>
      <c r="AW121" s="576"/>
      <c r="AX121" s="576"/>
      <c r="AY121" s="576"/>
      <c r="AZ121" s="576"/>
      <c r="BA121" s="576"/>
      <c r="BB121" s="576"/>
      <c r="BC121" s="576"/>
      <c r="BD121" s="576"/>
      <c r="BE121" s="577"/>
    </row>
    <row r="122" spans="1:57" x14ac:dyDescent="0.2">
      <c r="A122" s="576"/>
      <c r="B122" s="98"/>
      <c r="C122" s="98"/>
      <c r="D122" s="98"/>
      <c r="E122" s="98"/>
      <c r="F122" s="98"/>
      <c r="G122" s="576"/>
      <c r="H122" s="576"/>
      <c r="I122" s="576"/>
      <c r="J122" s="576"/>
      <c r="K122" s="576"/>
      <c r="L122" s="576"/>
      <c r="M122" s="576"/>
      <c r="N122" s="576"/>
      <c r="O122" s="576"/>
      <c r="P122" s="576"/>
      <c r="Q122" s="576"/>
      <c r="R122" s="576"/>
      <c r="S122" s="576"/>
      <c r="T122" s="576"/>
      <c r="U122" s="576"/>
      <c r="V122" s="576"/>
      <c r="W122" s="576"/>
      <c r="X122" s="576"/>
      <c r="Y122" s="576"/>
      <c r="Z122" s="576"/>
      <c r="AA122" s="98"/>
      <c r="AB122" s="98"/>
      <c r="AC122" s="98"/>
      <c r="AD122" s="98"/>
      <c r="AE122" s="98"/>
      <c r="AF122" s="98"/>
      <c r="AG122" s="576"/>
      <c r="AH122" s="576"/>
      <c r="AI122" s="576"/>
      <c r="AJ122" s="576"/>
      <c r="AK122" s="576"/>
      <c r="AL122" s="576"/>
      <c r="AM122" s="576"/>
      <c r="AN122" s="576"/>
      <c r="AO122" s="576"/>
      <c r="AP122" s="576"/>
      <c r="AQ122" s="576"/>
      <c r="AR122" s="576"/>
      <c r="AS122" s="576"/>
      <c r="AT122" s="576"/>
      <c r="AU122" s="576"/>
      <c r="AV122" s="576"/>
      <c r="AW122" s="576"/>
      <c r="AX122" s="576"/>
      <c r="AY122" s="576"/>
      <c r="AZ122" s="576"/>
      <c r="BA122" s="576"/>
      <c r="BB122" s="576"/>
      <c r="BC122" s="576"/>
      <c r="BD122" s="576"/>
      <c r="BE122" s="577"/>
    </row>
    <row r="123" spans="1:57" x14ac:dyDescent="0.2">
      <c r="A123" s="576"/>
      <c r="B123" s="98"/>
      <c r="C123" s="98"/>
      <c r="D123" s="98"/>
      <c r="E123" s="98"/>
      <c r="F123" s="98"/>
      <c r="G123" s="576"/>
      <c r="H123" s="576"/>
      <c r="I123" s="576"/>
      <c r="J123" s="576"/>
      <c r="K123" s="576"/>
      <c r="L123" s="576"/>
      <c r="M123" s="576"/>
      <c r="N123" s="576"/>
      <c r="O123" s="576"/>
      <c r="P123" s="576"/>
      <c r="Q123" s="576"/>
      <c r="R123" s="576"/>
      <c r="S123" s="576"/>
      <c r="T123" s="576"/>
      <c r="U123" s="576"/>
      <c r="V123" s="576"/>
      <c r="W123" s="576"/>
      <c r="X123" s="576"/>
      <c r="Y123" s="576"/>
      <c r="Z123" s="576"/>
      <c r="AA123" s="98"/>
      <c r="AB123" s="98"/>
      <c r="AC123" s="98"/>
      <c r="AD123" s="98"/>
      <c r="AE123" s="98"/>
      <c r="AF123" s="98"/>
      <c r="AG123" s="576"/>
      <c r="AH123" s="576"/>
      <c r="AI123" s="576"/>
      <c r="AJ123" s="576"/>
      <c r="AK123" s="576"/>
      <c r="AL123" s="576"/>
      <c r="AM123" s="576"/>
      <c r="AN123" s="576"/>
      <c r="AO123" s="576"/>
      <c r="AP123" s="576"/>
      <c r="AQ123" s="576"/>
      <c r="AR123" s="576"/>
      <c r="AS123" s="576"/>
      <c r="AT123" s="576"/>
      <c r="AU123" s="576"/>
      <c r="AV123" s="576"/>
      <c r="AW123" s="576"/>
      <c r="AX123" s="576"/>
      <c r="AY123" s="576"/>
      <c r="AZ123" s="576"/>
      <c r="BA123" s="576"/>
      <c r="BB123" s="576"/>
      <c r="BC123" s="576"/>
      <c r="BD123" s="576"/>
      <c r="BE123" s="577"/>
    </row>
    <row r="124" spans="1:57" x14ac:dyDescent="0.2">
      <c r="A124" s="576"/>
      <c r="B124" s="98"/>
      <c r="C124" s="98"/>
      <c r="D124" s="98"/>
      <c r="E124" s="98"/>
      <c r="F124" s="98"/>
      <c r="G124" s="576"/>
      <c r="H124" s="576"/>
      <c r="I124" s="576"/>
      <c r="J124" s="576"/>
      <c r="K124" s="576"/>
      <c r="L124" s="576"/>
      <c r="M124" s="576"/>
      <c r="N124" s="576"/>
      <c r="O124" s="576"/>
      <c r="P124" s="576"/>
      <c r="Q124" s="576"/>
      <c r="R124" s="576"/>
      <c r="S124" s="576"/>
      <c r="T124" s="576"/>
      <c r="U124" s="576"/>
      <c r="V124" s="576"/>
      <c r="W124" s="576"/>
      <c r="X124" s="576"/>
      <c r="Y124" s="576"/>
      <c r="Z124" s="576"/>
      <c r="AA124" s="98"/>
      <c r="AB124" s="98"/>
      <c r="AC124" s="98"/>
      <c r="AD124" s="98"/>
      <c r="AE124" s="98"/>
      <c r="AF124" s="98"/>
      <c r="AG124" s="576"/>
      <c r="AH124" s="576"/>
      <c r="AI124" s="576"/>
      <c r="AJ124" s="576"/>
      <c r="AK124" s="576"/>
      <c r="AL124" s="576"/>
      <c r="AM124" s="576"/>
      <c r="AN124" s="576"/>
      <c r="AO124" s="576"/>
      <c r="AP124" s="576"/>
      <c r="AQ124" s="576"/>
      <c r="AR124" s="576"/>
      <c r="AS124" s="576"/>
      <c r="AT124" s="576"/>
      <c r="AU124" s="576"/>
      <c r="AV124" s="576"/>
      <c r="AW124" s="576"/>
      <c r="AX124" s="576"/>
      <c r="AY124" s="576"/>
      <c r="AZ124" s="576"/>
      <c r="BA124" s="576"/>
      <c r="BB124" s="576"/>
      <c r="BC124" s="576"/>
      <c r="BD124" s="576"/>
      <c r="BE124" s="577"/>
    </row>
    <row r="125" spans="1:57" x14ac:dyDescent="0.2">
      <c r="A125" s="576"/>
      <c r="B125" s="98"/>
      <c r="C125" s="98"/>
      <c r="D125" s="98"/>
      <c r="E125" s="98"/>
      <c r="F125" s="98"/>
      <c r="G125" s="576"/>
      <c r="H125" s="576"/>
      <c r="I125" s="576"/>
      <c r="J125" s="576"/>
      <c r="K125" s="576"/>
      <c r="L125" s="576"/>
      <c r="M125" s="576"/>
      <c r="N125" s="576"/>
      <c r="O125" s="576"/>
      <c r="P125" s="576"/>
      <c r="Q125" s="576"/>
      <c r="R125" s="576"/>
      <c r="S125" s="576"/>
      <c r="T125" s="576"/>
      <c r="U125" s="576"/>
      <c r="V125" s="576"/>
      <c r="W125" s="576"/>
      <c r="X125" s="576"/>
      <c r="Y125" s="576"/>
      <c r="Z125" s="576"/>
      <c r="AA125" s="98"/>
      <c r="AB125" s="98"/>
      <c r="AC125" s="98"/>
      <c r="AD125" s="98"/>
      <c r="AE125" s="98"/>
      <c r="AF125" s="98"/>
      <c r="AG125" s="576"/>
      <c r="AH125" s="576"/>
      <c r="AI125" s="576"/>
      <c r="AJ125" s="576"/>
      <c r="AK125" s="576"/>
      <c r="AL125" s="576"/>
      <c r="AM125" s="576"/>
      <c r="AN125" s="576"/>
      <c r="AO125" s="576"/>
      <c r="AP125" s="576"/>
      <c r="AQ125" s="576"/>
      <c r="AR125" s="576"/>
      <c r="AS125" s="576"/>
      <c r="AT125" s="576"/>
      <c r="AU125" s="576"/>
      <c r="AV125" s="576"/>
      <c r="AW125" s="576"/>
      <c r="AX125" s="576"/>
      <c r="AY125" s="576"/>
      <c r="AZ125" s="576"/>
      <c r="BA125" s="576"/>
      <c r="BB125" s="576"/>
      <c r="BC125" s="576"/>
      <c r="BD125" s="576"/>
      <c r="BE125" s="577"/>
    </row>
    <row r="126" spans="1:57" x14ac:dyDescent="0.2">
      <c r="A126" s="576"/>
      <c r="B126" s="98"/>
      <c r="C126" s="98"/>
      <c r="D126" s="98"/>
      <c r="E126" s="98"/>
      <c r="F126" s="98"/>
      <c r="G126" s="576"/>
      <c r="H126" s="576"/>
      <c r="I126" s="576"/>
      <c r="J126" s="576"/>
      <c r="K126" s="576"/>
      <c r="L126" s="576"/>
      <c r="M126" s="576"/>
      <c r="N126" s="576"/>
      <c r="O126" s="576"/>
      <c r="P126" s="576"/>
      <c r="Q126" s="576"/>
      <c r="R126" s="576"/>
      <c r="S126" s="576"/>
      <c r="T126" s="576"/>
      <c r="U126" s="576"/>
      <c r="V126" s="576"/>
      <c r="W126" s="576"/>
      <c r="X126" s="576"/>
      <c r="Y126" s="576"/>
      <c r="Z126" s="576"/>
      <c r="AA126" s="98"/>
      <c r="AB126" s="98"/>
      <c r="AC126" s="98"/>
      <c r="AD126" s="98"/>
      <c r="AE126" s="98"/>
      <c r="AF126" s="98"/>
      <c r="AG126" s="576"/>
      <c r="AH126" s="576"/>
      <c r="AI126" s="576"/>
      <c r="AJ126" s="576"/>
      <c r="AK126" s="576"/>
      <c r="AL126" s="576"/>
      <c r="AM126" s="576"/>
      <c r="AN126" s="576"/>
      <c r="AO126" s="576"/>
      <c r="AP126" s="576"/>
      <c r="AQ126" s="576"/>
      <c r="AR126" s="576"/>
      <c r="AS126" s="576"/>
      <c r="AT126" s="576"/>
      <c r="AU126" s="576"/>
      <c r="AV126" s="576"/>
      <c r="AW126" s="576"/>
      <c r="AX126" s="576"/>
      <c r="AY126" s="576"/>
      <c r="AZ126" s="576"/>
      <c r="BA126" s="576"/>
      <c r="BB126" s="576"/>
      <c r="BC126" s="576"/>
      <c r="BD126" s="576"/>
      <c r="BE126" s="577"/>
    </row>
    <row r="127" spans="1:57" x14ac:dyDescent="0.2">
      <c r="A127" s="576"/>
      <c r="B127" s="98"/>
      <c r="C127" s="98"/>
      <c r="D127" s="98"/>
      <c r="E127" s="98"/>
      <c r="F127" s="98"/>
      <c r="G127" s="576"/>
      <c r="H127" s="576"/>
      <c r="I127" s="576"/>
      <c r="J127" s="576"/>
      <c r="K127" s="576"/>
      <c r="L127" s="576"/>
      <c r="M127" s="576"/>
      <c r="N127" s="576"/>
      <c r="O127" s="576"/>
      <c r="P127" s="576"/>
      <c r="Q127" s="576"/>
      <c r="R127" s="576"/>
      <c r="S127" s="576"/>
      <c r="T127" s="576"/>
      <c r="U127" s="576"/>
      <c r="V127" s="576"/>
      <c r="W127" s="576"/>
      <c r="X127" s="576"/>
      <c r="Y127" s="576"/>
      <c r="Z127" s="576"/>
      <c r="AA127" s="98"/>
      <c r="AB127" s="98"/>
      <c r="AC127" s="98"/>
      <c r="AD127" s="98"/>
      <c r="AE127" s="98"/>
      <c r="AF127" s="98"/>
      <c r="AG127" s="576"/>
      <c r="AH127" s="576"/>
      <c r="AI127" s="576"/>
      <c r="AJ127" s="576"/>
      <c r="AK127" s="576"/>
      <c r="AL127" s="576"/>
      <c r="AM127" s="576"/>
      <c r="AN127" s="576"/>
      <c r="AO127" s="576"/>
      <c r="AP127" s="576"/>
      <c r="AQ127" s="576"/>
      <c r="AR127" s="576"/>
      <c r="AS127" s="576"/>
      <c r="AT127" s="576"/>
      <c r="AU127" s="576"/>
      <c r="AV127" s="576"/>
      <c r="AW127" s="576"/>
      <c r="AX127" s="576"/>
      <c r="AY127" s="576"/>
      <c r="AZ127" s="576"/>
      <c r="BA127" s="576"/>
      <c r="BB127" s="576"/>
      <c r="BC127" s="576"/>
      <c r="BD127" s="576"/>
      <c r="BE127" s="577"/>
    </row>
    <row r="128" spans="1:57" x14ac:dyDescent="0.2">
      <c r="A128" s="576"/>
      <c r="B128" s="98"/>
      <c r="C128" s="98"/>
      <c r="D128" s="98"/>
      <c r="E128" s="98"/>
      <c r="F128" s="98"/>
      <c r="G128" s="576"/>
      <c r="H128" s="576"/>
      <c r="I128" s="576"/>
      <c r="J128" s="576"/>
      <c r="K128" s="576"/>
      <c r="L128" s="576"/>
      <c r="M128" s="576"/>
      <c r="N128" s="576"/>
      <c r="O128" s="576"/>
      <c r="P128" s="576"/>
      <c r="Q128" s="576"/>
      <c r="R128" s="576"/>
      <c r="S128" s="576"/>
      <c r="T128" s="576"/>
      <c r="U128" s="576"/>
      <c r="V128" s="576"/>
      <c r="W128" s="576"/>
      <c r="X128" s="576"/>
      <c r="Y128" s="576"/>
      <c r="Z128" s="576"/>
      <c r="AA128" s="98"/>
      <c r="AB128" s="98"/>
      <c r="AC128" s="98"/>
      <c r="AD128" s="98"/>
      <c r="AE128" s="98"/>
      <c r="AF128" s="98"/>
      <c r="AG128" s="576"/>
      <c r="AH128" s="576"/>
      <c r="AI128" s="576"/>
      <c r="AJ128" s="576"/>
      <c r="AK128" s="576"/>
      <c r="AL128" s="576"/>
      <c r="AM128" s="576"/>
      <c r="AN128" s="576"/>
      <c r="AO128" s="576"/>
      <c r="AP128" s="576"/>
      <c r="AQ128" s="576"/>
      <c r="AR128" s="576"/>
      <c r="AS128" s="576"/>
      <c r="AT128" s="576"/>
      <c r="AU128" s="576"/>
      <c r="AV128" s="576"/>
      <c r="AW128" s="576"/>
      <c r="AX128" s="576"/>
      <c r="AY128" s="576"/>
      <c r="AZ128" s="576"/>
      <c r="BA128" s="576"/>
      <c r="BB128" s="576"/>
      <c r="BC128" s="576"/>
      <c r="BD128" s="576"/>
      <c r="BE128" s="577"/>
    </row>
    <row r="129" spans="1:57" x14ac:dyDescent="0.2">
      <c r="A129" s="576"/>
      <c r="B129" s="98"/>
      <c r="C129" s="98"/>
      <c r="D129" s="98"/>
      <c r="E129" s="98"/>
      <c r="F129" s="98"/>
      <c r="G129" s="576"/>
      <c r="H129" s="576"/>
      <c r="I129" s="576"/>
      <c r="J129" s="576"/>
      <c r="K129" s="576"/>
      <c r="L129" s="576"/>
      <c r="M129" s="576"/>
      <c r="N129" s="576"/>
      <c r="O129" s="576"/>
      <c r="P129" s="576"/>
      <c r="Q129" s="576"/>
      <c r="R129" s="576"/>
      <c r="S129" s="576"/>
      <c r="T129" s="576"/>
      <c r="U129" s="576"/>
      <c r="V129" s="576"/>
      <c r="W129" s="576"/>
      <c r="X129" s="576"/>
      <c r="Y129" s="576"/>
      <c r="Z129" s="576"/>
      <c r="AA129" s="98"/>
      <c r="AB129" s="98"/>
      <c r="AC129" s="98"/>
      <c r="AD129" s="98"/>
      <c r="AE129" s="98"/>
      <c r="AF129" s="98"/>
      <c r="AG129" s="576"/>
      <c r="AH129" s="576"/>
      <c r="AI129" s="576"/>
      <c r="AJ129" s="576"/>
      <c r="AK129" s="576"/>
      <c r="AL129" s="576"/>
      <c r="AM129" s="576"/>
      <c r="AN129" s="576"/>
      <c r="AO129" s="576"/>
      <c r="AP129" s="576"/>
      <c r="AQ129" s="576"/>
      <c r="AR129" s="576"/>
      <c r="AS129" s="576"/>
      <c r="AT129" s="576"/>
      <c r="AU129" s="576"/>
      <c r="AV129" s="576"/>
      <c r="AW129" s="576"/>
      <c r="AX129" s="576"/>
      <c r="AY129" s="576"/>
      <c r="AZ129" s="576"/>
      <c r="BA129" s="576"/>
      <c r="BB129" s="576"/>
      <c r="BC129" s="576"/>
      <c r="BD129" s="576"/>
      <c r="BE129" s="577"/>
    </row>
    <row r="130" spans="1:57" x14ac:dyDescent="0.2">
      <c r="A130" s="576"/>
      <c r="B130" s="98"/>
      <c r="C130" s="98"/>
      <c r="D130" s="98"/>
      <c r="E130" s="98"/>
      <c r="F130" s="98"/>
      <c r="G130" s="576"/>
      <c r="H130" s="576"/>
      <c r="I130" s="576"/>
      <c r="J130" s="576"/>
      <c r="K130" s="576"/>
      <c r="L130" s="576"/>
      <c r="M130" s="576"/>
      <c r="N130" s="576"/>
      <c r="O130" s="576"/>
      <c r="P130" s="576"/>
      <c r="Q130" s="576"/>
      <c r="R130" s="576"/>
      <c r="S130" s="576"/>
      <c r="T130" s="576"/>
      <c r="U130" s="576"/>
      <c r="V130" s="576"/>
      <c r="W130" s="576"/>
      <c r="X130" s="576"/>
      <c r="Y130" s="576"/>
      <c r="Z130" s="576"/>
      <c r="AA130" s="98"/>
      <c r="AB130" s="98"/>
      <c r="AC130" s="98"/>
      <c r="AD130" s="98"/>
      <c r="AE130" s="98"/>
      <c r="AF130" s="98"/>
      <c r="AG130" s="576"/>
      <c r="AH130" s="576"/>
      <c r="AI130" s="576"/>
      <c r="AJ130" s="576"/>
      <c r="AK130" s="576"/>
      <c r="AL130" s="576"/>
      <c r="AM130" s="576"/>
      <c r="AN130" s="576"/>
      <c r="AO130" s="576"/>
      <c r="AP130" s="576"/>
      <c r="AQ130" s="576"/>
      <c r="AR130" s="576"/>
      <c r="AS130" s="576"/>
      <c r="AT130" s="576"/>
      <c r="AU130" s="576"/>
      <c r="AV130" s="576"/>
      <c r="AW130" s="576"/>
      <c r="AX130" s="576"/>
      <c r="AY130" s="576"/>
      <c r="AZ130" s="576"/>
      <c r="BA130" s="576"/>
      <c r="BB130" s="576"/>
      <c r="BC130" s="576"/>
      <c r="BD130" s="576"/>
      <c r="BE130" s="577"/>
    </row>
    <row r="131" spans="1:57" x14ac:dyDescent="0.2">
      <c r="A131" s="576"/>
      <c r="B131" s="98"/>
      <c r="C131" s="98"/>
      <c r="D131" s="98"/>
      <c r="E131" s="98"/>
      <c r="F131" s="98"/>
      <c r="G131" s="576"/>
      <c r="H131" s="576"/>
      <c r="I131" s="576"/>
      <c r="J131" s="576"/>
      <c r="K131" s="576"/>
      <c r="L131" s="576"/>
      <c r="M131" s="576"/>
      <c r="N131" s="576"/>
      <c r="O131" s="576"/>
      <c r="P131" s="576"/>
      <c r="Q131" s="576"/>
      <c r="R131" s="576"/>
      <c r="S131" s="576"/>
      <c r="T131" s="576"/>
      <c r="U131" s="576"/>
      <c r="V131" s="576"/>
      <c r="W131" s="576"/>
      <c r="X131" s="576"/>
      <c r="Y131" s="576"/>
      <c r="Z131" s="576"/>
      <c r="AA131" s="98"/>
      <c r="AB131" s="98"/>
      <c r="AC131" s="98"/>
      <c r="AD131" s="98"/>
      <c r="AE131" s="98"/>
      <c r="AF131" s="98"/>
      <c r="AG131" s="576"/>
      <c r="AH131" s="576"/>
      <c r="AI131" s="576"/>
      <c r="AJ131" s="576"/>
      <c r="AK131" s="576"/>
      <c r="AL131" s="576"/>
      <c r="AM131" s="576"/>
      <c r="AN131" s="576"/>
      <c r="AO131" s="576"/>
      <c r="AP131" s="576"/>
      <c r="AQ131" s="576"/>
      <c r="AR131" s="576"/>
      <c r="AS131" s="576"/>
      <c r="AT131" s="576"/>
      <c r="AU131" s="576"/>
      <c r="AV131" s="576"/>
      <c r="AW131" s="576"/>
      <c r="AX131" s="576"/>
      <c r="AY131" s="576"/>
      <c r="AZ131" s="576"/>
      <c r="BA131" s="576"/>
      <c r="BB131" s="576"/>
      <c r="BC131" s="576"/>
      <c r="BD131" s="576"/>
      <c r="BE131" s="577"/>
    </row>
    <row r="132" spans="1:57" x14ac:dyDescent="0.2">
      <c r="A132" s="579"/>
      <c r="B132" s="100"/>
      <c r="C132" s="100"/>
      <c r="D132" s="100"/>
      <c r="E132" s="100"/>
      <c r="F132" s="100"/>
      <c r="G132" s="579"/>
      <c r="H132" s="579"/>
      <c r="I132" s="579"/>
      <c r="J132" s="579"/>
      <c r="K132" s="579"/>
      <c r="L132" s="579"/>
      <c r="M132" s="579"/>
      <c r="N132" s="579"/>
      <c r="O132" s="579"/>
      <c r="P132" s="579"/>
      <c r="Q132" s="579"/>
      <c r="R132" s="579"/>
      <c r="S132" s="579"/>
      <c r="T132" s="579"/>
      <c r="U132" s="579"/>
      <c r="V132" s="579"/>
      <c r="W132" s="579"/>
      <c r="X132" s="579"/>
      <c r="Y132" s="579"/>
      <c r="Z132" s="579"/>
      <c r="AA132" s="100"/>
      <c r="AB132" s="100"/>
      <c r="AC132" s="100"/>
      <c r="AD132" s="100"/>
      <c r="AE132" s="100"/>
      <c r="AF132" s="100"/>
      <c r="AG132" s="579"/>
      <c r="AH132" s="579"/>
      <c r="AI132" s="579"/>
      <c r="AJ132" s="579"/>
      <c r="AK132" s="579"/>
      <c r="AL132" s="579"/>
      <c r="AM132" s="579"/>
      <c r="AN132" s="579"/>
      <c r="AO132" s="579"/>
      <c r="AP132" s="579"/>
      <c r="AQ132" s="579"/>
      <c r="AR132" s="579"/>
      <c r="AS132" s="579"/>
      <c r="AT132" s="579"/>
      <c r="AU132" s="579"/>
      <c r="AV132" s="579"/>
      <c r="AW132" s="579"/>
      <c r="AX132" s="579"/>
      <c r="AY132" s="579"/>
      <c r="AZ132" s="579"/>
      <c r="BA132" s="579"/>
      <c r="BB132" s="579"/>
      <c r="BC132" s="579"/>
      <c r="BD132" s="579"/>
      <c r="BE132" s="580"/>
    </row>
  </sheetData>
  <sheetProtection algorithmName="SHA-512" hashValue="tMh7l2VfEOuRBY9EFdCVv2+mcP41zZn5oEXnSMMI4AgnsRe/xmZ9o5yvTKhb5BBIATAm39d9vM3jOe/rsntx3w==" saltValue="gNZCQRRV6ZRp1MnMdIMhKA==" spinCount="100000" sheet="1" selectLockedCells="1"/>
  <dataConsolidate link="1"/>
  <mergeCells count="29">
    <mergeCell ref="C28:C29"/>
    <mergeCell ref="D28:D29"/>
    <mergeCell ref="C30:C31"/>
    <mergeCell ref="D30:D31"/>
    <mergeCell ref="C32:C33"/>
    <mergeCell ref="D32:D33"/>
    <mergeCell ref="D47:D49"/>
    <mergeCell ref="C43:C44"/>
    <mergeCell ref="D43:D44"/>
    <mergeCell ref="C41:C42"/>
    <mergeCell ref="D41:D42"/>
    <mergeCell ref="C20:C21"/>
    <mergeCell ref="D20:D21"/>
    <mergeCell ref="C7:C8"/>
    <mergeCell ref="D7:D8"/>
    <mergeCell ref="C11:C13"/>
    <mergeCell ref="D11:D13"/>
    <mergeCell ref="C14:C15"/>
    <mergeCell ref="D14:D15"/>
    <mergeCell ref="C16:C17"/>
    <mergeCell ref="D16:D17"/>
    <mergeCell ref="C18:C19"/>
    <mergeCell ref="D18:D19"/>
    <mergeCell ref="C22:C23"/>
    <mergeCell ref="D22:D23"/>
    <mergeCell ref="C24:C25"/>
    <mergeCell ref="D24:D25"/>
    <mergeCell ref="C26:C27"/>
    <mergeCell ref="D26:D27"/>
  </mergeCells>
  <conditionalFormatting sqref="G4:Z4 G7:Z64">
    <cfRule type="notContainsBlanks" dxfId="23"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1000-000000000000}">
      <formula1>1</formula1>
      <formula2>48</formula2>
    </dataValidation>
  </dataValidations>
  <pageMargins left="0.7" right="0.7" top="0.75" bottom="0.75" header="0.3" footer="0.3"/>
  <pageSetup paperSize="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3"/>
  <dimension ref="A1:BE86"/>
  <sheetViews>
    <sheetView zoomScale="115" zoomScaleNormal="115" workbookViewId="0">
      <pane xSplit="6" ySplit="6" topLeftCell="G9" activePane="bottomRight" state="frozen"/>
      <selection pane="topRight" activeCell="G1" sqref="G1"/>
      <selection pane="bottomLeft" activeCell="A7" sqref="A7"/>
      <selection pane="bottomRight" activeCell="G17" sqref="G17"/>
    </sheetView>
  </sheetViews>
  <sheetFormatPr defaultColWidth="9.140625" defaultRowHeight="11.25" x14ac:dyDescent="0.2"/>
  <cols>
    <col min="1" max="1" width="0.5703125" style="573" customWidth="1"/>
    <col min="2" max="2" width="10.140625" style="99" customWidth="1"/>
    <col min="3" max="3" width="22.5703125" style="99" customWidth="1"/>
    <col min="4" max="4" width="9.85546875" style="99" bestFit="1" customWidth="1"/>
    <col min="5" max="5" width="29" style="99" customWidth="1"/>
    <col min="6" max="6" width="14.28515625" style="99" bestFit="1" customWidth="1"/>
    <col min="7" max="26" width="12.5703125" style="573"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s="99" customFormat="1" ht="12" thickBot="1" x14ac:dyDescent="0.25"/>
    <row r="2" spans="1:57" s="118" customFormat="1" ht="12.75" thickBot="1" x14ac:dyDescent="0.25">
      <c r="G2" s="148" t="s">
        <v>308</v>
      </c>
      <c r="H2" s="148" t="s">
        <v>309</v>
      </c>
      <c r="I2" s="148" t="s">
        <v>310</v>
      </c>
      <c r="J2" s="148" t="s">
        <v>311</v>
      </c>
      <c r="K2" s="148" t="s">
        <v>312</v>
      </c>
      <c r="L2" s="148" t="s">
        <v>313</v>
      </c>
      <c r="M2" s="148" t="s">
        <v>314</v>
      </c>
      <c r="N2" s="148" t="s">
        <v>315</v>
      </c>
      <c r="O2" s="148" t="s">
        <v>316</v>
      </c>
      <c r="P2" s="148" t="s">
        <v>317</v>
      </c>
      <c r="Q2" s="148" t="s">
        <v>318</v>
      </c>
      <c r="R2" s="148" t="s">
        <v>319</v>
      </c>
      <c r="S2" s="148" t="s">
        <v>320</v>
      </c>
      <c r="T2" s="148" t="s">
        <v>321</v>
      </c>
      <c r="U2" s="148" t="s">
        <v>322</v>
      </c>
      <c r="V2" s="148" t="s">
        <v>323</v>
      </c>
      <c r="W2" s="148" t="s">
        <v>324</v>
      </c>
      <c r="X2" s="148" t="s">
        <v>325</v>
      </c>
      <c r="Y2" s="148" t="s">
        <v>326</v>
      </c>
      <c r="Z2" s="148" t="s">
        <v>327</v>
      </c>
    </row>
    <row r="3" spans="1:57" s="119" customFormat="1" ht="24.6" customHeight="1" thickBot="1" x14ac:dyDescent="0.3">
      <c r="F3" s="124" t="s">
        <v>1170</v>
      </c>
      <c r="G3" s="488" t="str">
        <f>IF('Elenco immobili'!$C$4="","",'Elenco immobili'!$C$4)</f>
        <v>Sede ICE-AGID</v>
      </c>
      <c r="H3" s="488" t="str">
        <f>IF('Elenco immobili'!$C$5="","",'Elenco immobili'!$C$5)</f>
        <v/>
      </c>
      <c r="I3" s="488" t="str">
        <f>IF('Elenco immobili'!$C$6="","",'Elenco immobili'!$C$6)</f>
        <v/>
      </c>
      <c r="J3" s="488" t="str">
        <f>IF('Elenco immobili'!$C$7="","",'Elenco immobili'!$C$7)</f>
        <v/>
      </c>
      <c r="K3" s="488" t="str">
        <f>IF('Elenco immobili'!$C$8="","",'Elenco immobili'!$C$8)</f>
        <v/>
      </c>
      <c r="L3" s="488" t="str">
        <f>IF('Elenco immobili'!$C$9="","",'Elenco immobili'!$C$9)</f>
        <v/>
      </c>
      <c r="M3" s="488" t="str">
        <f>IF('Elenco immobili'!$C$10="","",'Elenco immobili'!$C$10)</f>
        <v/>
      </c>
      <c r="N3" s="488" t="str">
        <f>IF('Elenco immobili'!$C$11="","",'Elenco immobili'!$C$11)</f>
        <v/>
      </c>
      <c r="O3" s="488" t="str">
        <f>IF('Elenco immobili'!$C$12="","",'Elenco immobili'!$C$12)</f>
        <v/>
      </c>
      <c r="P3" s="488" t="str">
        <f>IF('Elenco immobili'!$C$13="","",'Elenco immobili'!$C$13)</f>
        <v/>
      </c>
      <c r="Q3" s="488" t="str">
        <f>IF('Elenco immobili'!$C$14="","",'Elenco immobili'!$C$14)</f>
        <v/>
      </c>
      <c r="R3" s="488" t="str">
        <f>IF('Elenco immobili'!$C$15="","",'Elenco immobili'!$C$15)</f>
        <v/>
      </c>
      <c r="S3" s="488" t="str">
        <f>IF('Elenco immobili'!$C$16="","",'Elenco immobili'!$C$16)</f>
        <v/>
      </c>
      <c r="T3" s="488" t="str">
        <f>IF('Elenco immobili'!$C$17="","",'Elenco immobili'!$C$17)</f>
        <v/>
      </c>
      <c r="U3" s="488" t="str">
        <f>IF('Elenco immobili'!$C$18="","",'Elenco immobili'!$C$18)</f>
        <v/>
      </c>
      <c r="V3" s="488" t="str">
        <f>IF('Elenco immobili'!$C$19="","",'Elenco immobili'!$C$19)</f>
        <v/>
      </c>
      <c r="W3" s="488" t="str">
        <f>IF('Elenco immobili'!$C$20="","",'Elenco immobili'!$C$20)</f>
        <v/>
      </c>
      <c r="X3" s="488" t="str">
        <f>IF('Elenco immobili'!$C$21="","",'Elenco immobili'!$C$21)</f>
        <v/>
      </c>
      <c r="Y3" s="488" t="str">
        <f>IF('Elenco immobili'!$C$22="","",'Elenco immobili'!$C$22)</f>
        <v/>
      </c>
      <c r="Z3" s="488" t="str">
        <f>IF('Elenco immobili'!$C$23="","",'Elenco immobili'!$C$23)</f>
        <v/>
      </c>
    </row>
    <row r="4" spans="1:57" ht="13.5" thickBot="1" x14ac:dyDescent="0.25">
      <c r="B4" s="105" t="s">
        <v>769</v>
      </c>
      <c r="F4" s="125" t="s">
        <v>328</v>
      </c>
      <c r="G4" s="574">
        <v>48</v>
      </c>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24" customHeight="1" thickBot="1" x14ac:dyDescent="0.25">
      <c r="A6" s="101"/>
      <c r="B6" s="121" t="s">
        <v>250</v>
      </c>
      <c r="C6" s="122" t="s">
        <v>251</v>
      </c>
      <c r="D6" s="122" t="s">
        <v>252</v>
      </c>
      <c r="E6" s="122" t="s">
        <v>253</v>
      </c>
      <c r="F6" s="123" t="s">
        <v>1174</v>
      </c>
      <c r="G6" s="582" t="s">
        <v>307</v>
      </c>
      <c r="H6" s="582" t="s">
        <v>307</v>
      </c>
      <c r="I6" s="582" t="s">
        <v>307</v>
      </c>
      <c r="J6" s="582" t="s">
        <v>307</v>
      </c>
      <c r="K6" s="582" t="s">
        <v>307</v>
      </c>
      <c r="L6" s="582" t="s">
        <v>307</v>
      </c>
      <c r="M6" s="582" t="s">
        <v>307</v>
      </c>
      <c r="N6" s="582" t="s">
        <v>307</v>
      </c>
      <c r="O6" s="582" t="s">
        <v>307</v>
      </c>
      <c r="P6" s="582" t="s">
        <v>307</v>
      </c>
      <c r="Q6" s="582" t="s">
        <v>307</v>
      </c>
      <c r="R6" s="582" t="s">
        <v>307</v>
      </c>
      <c r="S6" s="582" t="s">
        <v>307</v>
      </c>
      <c r="T6" s="582" t="s">
        <v>307</v>
      </c>
      <c r="U6" s="582" t="s">
        <v>307</v>
      </c>
      <c r="V6" s="582" t="s">
        <v>307</v>
      </c>
      <c r="W6" s="582" t="s">
        <v>307</v>
      </c>
      <c r="X6" s="582" t="s">
        <v>307</v>
      </c>
      <c r="Y6" s="582" t="s">
        <v>307</v>
      </c>
      <c r="Z6" s="582"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158.25" thickBot="1" x14ac:dyDescent="0.25">
      <c r="A7" s="575"/>
      <c r="B7" s="149" t="s">
        <v>713</v>
      </c>
      <c r="C7" s="150" t="s">
        <v>714</v>
      </c>
      <c r="D7" s="151" t="s">
        <v>715</v>
      </c>
      <c r="E7" s="152" t="s">
        <v>716</v>
      </c>
      <c r="F7" s="153" t="s">
        <v>717</v>
      </c>
      <c r="G7" s="849">
        <v>26290</v>
      </c>
      <c r="H7" s="454"/>
      <c r="I7" s="454"/>
      <c r="J7" s="454"/>
      <c r="K7" s="454"/>
      <c r="L7" s="454"/>
      <c r="M7" s="454"/>
      <c r="N7" s="454"/>
      <c r="O7" s="454"/>
      <c r="P7" s="454"/>
      <c r="Q7" s="454"/>
      <c r="R7" s="454"/>
      <c r="S7" s="454"/>
      <c r="T7" s="454"/>
      <c r="U7" s="454"/>
      <c r="V7" s="454"/>
      <c r="W7" s="454"/>
      <c r="X7" s="454"/>
      <c r="Y7" s="454"/>
      <c r="Z7" s="454"/>
      <c r="AA7" s="130">
        <v>0.28499999999999998</v>
      </c>
      <c r="AB7" s="595" t="s">
        <v>39</v>
      </c>
      <c r="AC7" s="131">
        <f>'Ribassi PE'!$K$9</f>
        <v>7.0000000000000007E-2</v>
      </c>
      <c r="AD7" s="132">
        <f t="shared" ref="AD7:AD18" si="0">ROUND(AA7*(1-AC7),3)</f>
        <v>0.26500000000000001</v>
      </c>
      <c r="AE7" s="133">
        <f>'Ribassi PE'!$M$9</f>
        <v>0.45</v>
      </c>
      <c r="AF7" s="132">
        <f t="shared" ref="AF7:AF18" si="1">ROUND(AA7*(1-AE7),3)</f>
        <v>0.157</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113.25" thickBot="1" x14ac:dyDescent="0.25">
      <c r="A8" s="575"/>
      <c r="B8" s="154" t="s">
        <v>718</v>
      </c>
      <c r="C8" s="155" t="s">
        <v>719</v>
      </c>
      <c r="D8" s="156" t="s">
        <v>720</v>
      </c>
      <c r="E8" s="157" t="s">
        <v>721</v>
      </c>
      <c r="F8" s="158" t="s">
        <v>410</v>
      </c>
      <c r="G8" s="850"/>
      <c r="H8" s="455"/>
      <c r="I8" s="455"/>
      <c r="J8" s="455"/>
      <c r="K8" s="455"/>
      <c r="L8" s="455"/>
      <c r="M8" s="455"/>
      <c r="N8" s="455"/>
      <c r="O8" s="455"/>
      <c r="P8" s="455"/>
      <c r="Q8" s="455"/>
      <c r="R8" s="455"/>
      <c r="S8" s="455"/>
      <c r="T8" s="455"/>
      <c r="U8" s="455"/>
      <c r="V8" s="455"/>
      <c r="W8" s="455"/>
      <c r="X8" s="455"/>
      <c r="Y8" s="455"/>
      <c r="Z8" s="455"/>
      <c r="AA8" s="164">
        <v>70.784999999999997</v>
      </c>
      <c r="AB8" s="596" t="s">
        <v>39</v>
      </c>
      <c r="AC8" s="165">
        <f>'Ribassi PE'!$K$9</f>
        <v>7.0000000000000007E-2</v>
      </c>
      <c r="AD8" s="166">
        <f t="shared" si="0"/>
        <v>65.83</v>
      </c>
      <c r="AE8" s="165">
        <f>'Ribassi PE'!$M$9</f>
        <v>0.45</v>
      </c>
      <c r="AF8" s="166">
        <f t="shared" si="1"/>
        <v>38.932000000000002</v>
      </c>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113.25" thickBot="1" x14ac:dyDescent="0.25">
      <c r="A9" s="575"/>
      <c r="B9" s="154" t="s">
        <v>722</v>
      </c>
      <c r="C9" s="155" t="s">
        <v>723</v>
      </c>
      <c r="D9" s="156" t="s">
        <v>724</v>
      </c>
      <c r="E9" s="157" t="s">
        <v>725</v>
      </c>
      <c r="F9" s="158" t="s">
        <v>726</v>
      </c>
      <c r="G9" s="850"/>
      <c r="H9" s="455"/>
      <c r="I9" s="455"/>
      <c r="J9" s="455"/>
      <c r="K9" s="455"/>
      <c r="L9" s="455"/>
      <c r="M9" s="455"/>
      <c r="N9" s="455"/>
      <c r="O9" s="455"/>
      <c r="P9" s="455"/>
      <c r="Q9" s="455"/>
      <c r="R9" s="455"/>
      <c r="S9" s="455"/>
      <c r="T9" s="455"/>
      <c r="U9" s="455"/>
      <c r="V9" s="455"/>
      <c r="W9" s="455"/>
      <c r="X9" s="455"/>
      <c r="Y9" s="455"/>
      <c r="Z9" s="455"/>
      <c r="AA9" s="134">
        <v>147.589</v>
      </c>
      <c r="AB9" s="596" t="s">
        <v>39</v>
      </c>
      <c r="AC9" s="135">
        <f>'Ribassi PE'!$K$9</f>
        <v>7.0000000000000007E-2</v>
      </c>
      <c r="AD9" s="136">
        <f t="shared" si="0"/>
        <v>137.25800000000001</v>
      </c>
      <c r="AE9" s="135">
        <f>'Ribassi PE'!$M$9</f>
        <v>0.45</v>
      </c>
      <c r="AF9" s="136">
        <f t="shared" si="1"/>
        <v>81.174000000000007</v>
      </c>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113.25" thickBot="1" x14ac:dyDescent="0.25">
      <c r="A10" s="575"/>
      <c r="B10" s="154" t="s">
        <v>727</v>
      </c>
      <c r="C10" s="155" t="s">
        <v>728</v>
      </c>
      <c r="D10" s="156" t="s">
        <v>729</v>
      </c>
      <c r="E10" s="157" t="s">
        <v>730</v>
      </c>
      <c r="F10" s="158" t="s">
        <v>731</v>
      </c>
      <c r="G10" s="850"/>
      <c r="H10" s="455"/>
      <c r="I10" s="455"/>
      <c r="J10" s="455"/>
      <c r="K10" s="455"/>
      <c r="L10" s="455"/>
      <c r="M10" s="455"/>
      <c r="N10" s="455"/>
      <c r="O10" s="455"/>
      <c r="P10" s="455"/>
      <c r="Q10" s="455"/>
      <c r="R10" s="455"/>
      <c r="S10" s="455"/>
      <c r="T10" s="455"/>
      <c r="U10" s="455"/>
      <c r="V10" s="455"/>
      <c r="W10" s="455"/>
      <c r="X10" s="455"/>
      <c r="Y10" s="455"/>
      <c r="Z10" s="455"/>
      <c r="AA10" s="134">
        <v>222.31800000000001</v>
      </c>
      <c r="AB10" s="596" t="s">
        <v>39</v>
      </c>
      <c r="AC10" s="167">
        <f>'Ribassi PE'!$K$9</f>
        <v>7.0000000000000007E-2</v>
      </c>
      <c r="AD10" s="168">
        <f t="shared" si="0"/>
        <v>206.756</v>
      </c>
      <c r="AE10" s="167">
        <f>'Ribassi PE'!$M$9</f>
        <v>0.45</v>
      </c>
      <c r="AF10" s="168">
        <f t="shared" si="1"/>
        <v>122.27500000000001</v>
      </c>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68.25" thickBot="1" x14ac:dyDescent="0.25">
      <c r="A11" s="575"/>
      <c r="B11" s="154" t="s">
        <v>732</v>
      </c>
      <c r="C11" s="155" t="s">
        <v>733</v>
      </c>
      <c r="D11" s="156" t="s">
        <v>734</v>
      </c>
      <c r="E11" s="157" t="s">
        <v>735</v>
      </c>
      <c r="F11" s="158" t="s">
        <v>736</v>
      </c>
      <c r="G11" s="850">
        <v>7</v>
      </c>
      <c r="H11" s="455"/>
      <c r="I11" s="455"/>
      <c r="J11" s="455"/>
      <c r="K11" s="455"/>
      <c r="L11" s="455"/>
      <c r="M11" s="455"/>
      <c r="N11" s="455"/>
      <c r="O11" s="455"/>
      <c r="P11" s="455"/>
      <c r="Q11" s="455"/>
      <c r="R11" s="455"/>
      <c r="S11" s="455"/>
      <c r="T11" s="455"/>
      <c r="U11" s="455"/>
      <c r="V11" s="455"/>
      <c r="W11" s="455"/>
      <c r="X11" s="455"/>
      <c r="Y11" s="455"/>
      <c r="Z11" s="455"/>
      <c r="AA11" s="134">
        <v>186.822</v>
      </c>
      <c r="AB11" s="596" t="s">
        <v>39</v>
      </c>
      <c r="AC11" s="165">
        <f>'Ribassi PE'!$K$9</f>
        <v>7.0000000000000007E-2</v>
      </c>
      <c r="AD11" s="169">
        <f t="shared" si="0"/>
        <v>173.744</v>
      </c>
      <c r="AE11" s="165">
        <f>'Ribassi PE'!$M$9</f>
        <v>0.45</v>
      </c>
      <c r="AF11" s="169">
        <f t="shared" si="1"/>
        <v>102.752</v>
      </c>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57" thickBot="1" x14ac:dyDescent="0.25">
      <c r="A12" s="575"/>
      <c r="B12" s="154" t="s">
        <v>737</v>
      </c>
      <c r="C12" s="155" t="s">
        <v>738</v>
      </c>
      <c r="D12" s="156" t="s">
        <v>739</v>
      </c>
      <c r="E12" s="157" t="s">
        <v>740</v>
      </c>
      <c r="F12" s="158" t="s">
        <v>741</v>
      </c>
      <c r="G12" s="850">
        <v>3</v>
      </c>
      <c r="H12" s="455"/>
      <c r="I12" s="455"/>
      <c r="J12" s="455"/>
      <c r="K12" s="455"/>
      <c r="L12" s="455"/>
      <c r="M12" s="455"/>
      <c r="N12" s="455"/>
      <c r="O12" s="455"/>
      <c r="P12" s="455"/>
      <c r="Q12" s="455"/>
      <c r="R12" s="455"/>
      <c r="S12" s="455"/>
      <c r="T12" s="455"/>
      <c r="U12" s="455"/>
      <c r="V12" s="455"/>
      <c r="W12" s="455"/>
      <c r="X12" s="455"/>
      <c r="Y12" s="455"/>
      <c r="Z12" s="455"/>
      <c r="AA12" s="134">
        <v>249.096</v>
      </c>
      <c r="AB12" s="596" t="s">
        <v>39</v>
      </c>
      <c r="AC12" s="135">
        <f>'Ribassi PE'!$K$9</f>
        <v>7.0000000000000007E-2</v>
      </c>
      <c r="AD12" s="136">
        <f t="shared" si="0"/>
        <v>231.65899999999999</v>
      </c>
      <c r="AE12" s="135">
        <f>'Ribassi PE'!$M$9</f>
        <v>0.45</v>
      </c>
      <c r="AF12" s="136">
        <f t="shared" si="1"/>
        <v>137.00299999999999</v>
      </c>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45.75" thickBot="1" x14ac:dyDescent="0.25">
      <c r="A13" s="575"/>
      <c r="B13" s="154" t="s">
        <v>742</v>
      </c>
      <c r="C13" s="155" t="s">
        <v>743</v>
      </c>
      <c r="D13" s="156" t="s">
        <v>744</v>
      </c>
      <c r="E13" s="157" t="s">
        <v>745</v>
      </c>
      <c r="F13" s="158" t="s">
        <v>746</v>
      </c>
      <c r="G13" s="850"/>
      <c r="H13" s="455"/>
      <c r="I13" s="455"/>
      <c r="J13" s="455"/>
      <c r="K13" s="455"/>
      <c r="L13" s="455"/>
      <c r="M13" s="455"/>
      <c r="N13" s="455"/>
      <c r="O13" s="455"/>
      <c r="P13" s="455"/>
      <c r="Q13" s="455"/>
      <c r="R13" s="455"/>
      <c r="S13" s="455"/>
      <c r="T13" s="455"/>
      <c r="U13" s="455"/>
      <c r="V13" s="455"/>
      <c r="W13" s="455"/>
      <c r="X13" s="455"/>
      <c r="Y13" s="455"/>
      <c r="Z13" s="455"/>
      <c r="AA13" s="164">
        <v>145.30600000000001</v>
      </c>
      <c r="AB13" s="596" t="s">
        <v>39</v>
      </c>
      <c r="AC13" s="165">
        <f>'Ribassi PE'!$K$9</f>
        <v>7.0000000000000007E-2</v>
      </c>
      <c r="AD13" s="166">
        <f t="shared" si="0"/>
        <v>135.13499999999999</v>
      </c>
      <c r="AE13" s="165">
        <f>'Ribassi PE'!$M$9</f>
        <v>0.45</v>
      </c>
      <c r="AF13" s="166">
        <f t="shared" si="1"/>
        <v>79.918000000000006</v>
      </c>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135.75" thickBot="1" x14ac:dyDescent="0.25">
      <c r="A14" s="575"/>
      <c r="B14" s="154" t="s">
        <v>747</v>
      </c>
      <c r="C14" s="155" t="s">
        <v>748</v>
      </c>
      <c r="D14" s="156" t="s">
        <v>749</v>
      </c>
      <c r="E14" s="157" t="s">
        <v>750</v>
      </c>
      <c r="F14" s="158" t="s">
        <v>751</v>
      </c>
      <c r="G14" s="850">
        <v>44</v>
      </c>
      <c r="H14" s="455"/>
      <c r="I14" s="455"/>
      <c r="J14" s="455"/>
      <c r="K14" s="455"/>
      <c r="L14" s="455"/>
      <c r="M14" s="455"/>
      <c r="N14" s="455"/>
      <c r="O14" s="455"/>
      <c r="P14" s="455"/>
      <c r="Q14" s="455"/>
      <c r="R14" s="455"/>
      <c r="S14" s="455"/>
      <c r="T14" s="455"/>
      <c r="U14" s="455"/>
      <c r="V14" s="455"/>
      <c r="W14" s="455"/>
      <c r="X14" s="455"/>
      <c r="Y14" s="455"/>
      <c r="Z14" s="455"/>
      <c r="AA14" s="164">
        <v>152.779</v>
      </c>
      <c r="AB14" s="596" t="s">
        <v>39</v>
      </c>
      <c r="AC14" s="165">
        <f>'Ribassi PE'!$K$9</f>
        <v>7.0000000000000007E-2</v>
      </c>
      <c r="AD14" s="166">
        <f t="shared" si="0"/>
        <v>142.084</v>
      </c>
      <c r="AE14" s="165">
        <f>'Ribassi PE'!$M$9</f>
        <v>0.45</v>
      </c>
      <c r="AF14" s="166">
        <f t="shared" si="1"/>
        <v>84.028000000000006</v>
      </c>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ht="158.25" thickBot="1" x14ac:dyDescent="0.25">
      <c r="A15" s="575"/>
      <c r="B15" s="154" t="s">
        <v>752</v>
      </c>
      <c r="C15" s="155" t="s">
        <v>753</v>
      </c>
      <c r="D15" s="156" t="s">
        <v>754</v>
      </c>
      <c r="E15" s="157" t="s">
        <v>755</v>
      </c>
      <c r="F15" s="158" t="s">
        <v>717</v>
      </c>
      <c r="G15" s="850">
        <v>26290</v>
      </c>
      <c r="H15" s="455"/>
      <c r="I15" s="455"/>
      <c r="J15" s="455"/>
      <c r="K15" s="455"/>
      <c r="L15" s="455"/>
      <c r="M15" s="455"/>
      <c r="N15" s="455"/>
      <c r="O15" s="455"/>
      <c r="P15" s="455"/>
      <c r="Q15" s="455"/>
      <c r="R15" s="455"/>
      <c r="S15" s="455"/>
      <c r="T15" s="455"/>
      <c r="U15" s="455"/>
      <c r="V15" s="455"/>
      <c r="W15" s="455"/>
      <c r="X15" s="455"/>
      <c r="Y15" s="455"/>
      <c r="Z15" s="455"/>
      <c r="AA15" s="134">
        <v>0.16300000000000001</v>
      </c>
      <c r="AB15" s="596" t="s">
        <v>39</v>
      </c>
      <c r="AC15" s="135">
        <f>'Ribassi PE'!$K$9</f>
        <v>7.0000000000000007E-2</v>
      </c>
      <c r="AD15" s="136">
        <f t="shared" si="0"/>
        <v>0.152</v>
      </c>
      <c r="AE15" s="135">
        <f>'Ribassi PE'!$M$9</f>
        <v>0.45</v>
      </c>
      <c r="AF15" s="136">
        <f t="shared" si="1"/>
        <v>0.09</v>
      </c>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ht="180.75" thickBot="1" x14ac:dyDescent="0.25">
      <c r="A16" s="575"/>
      <c r="B16" s="154" t="s">
        <v>756</v>
      </c>
      <c r="C16" s="155" t="s">
        <v>757</v>
      </c>
      <c r="D16" s="156" t="s">
        <v>758</v>
      </c>
      <c r="E16" s="157" t="s">
        <v>759</v>
      </c>
      <c r="F16" s="158" t="s">
        <v>717</v>
      </c>
      <c r="G16" s="850">
        <v>26290</v>
      </c>
      <c r="H16" s="455"/>
      <c r="I16" s="455"/>
      <c r="J16" s="455"/>
      <c r="K16" s="455"/>
      <c r="L16" s="455"/>
      <c r="M16" s="455"/>
      <c r="N16" s="455"/>
      <c r="O16" s="455"/>
      <c r="P16" s="455"/>
      <c r="Q16" s="455"/>
      <c r="R16" s="455"/>
      <c r="S16" s="455"/>
      <c r="T16" s="455"/>
      <c r="U16" s="455"/>
      <c r="V16" s="455"/>
      <c r="W16" s="455"/>
      <c r="X16" s="455"/>
      <c r="Y16" s="455"/>
      <c r="Z16" s="455"/>
      <c r="AA16" s="164">
        <v>0.23200000000000001</v>
      </c>
      <c r="AB16" s="596" t="s">
        <v>39</v>
      </c>
      <c r="AC16" s="165">
        <f>'Ribassi PE'!$K$9</f>
        <v>7.0000000000000007E-2</v>
      </c>
      <c r="AD16" s="166">
        <f t="shared" si="0"/>
        <v>0.216</v>
      </c>
      <c r="AE16" s="165">
        <f>'Ribassi PE'!$M$9</f>
        <v>0.45</v>
      </c>
      <c r="AF16" s="166">
        <f t="shared" si="1"/>
        <v>0.128</v>
      </c>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ht="90.75" thickBot="1" x14ac:dyDescent="0.25">
      <c r="A17" s="575"/>
      <c r="B17" s="154" t="s">
        <v>760</v>
      </c>
      <c r="C17" s="155" t="s">
        <v>761</v>
      </c>
      <c r="D17" s="156" t="s">
        <v>762</v>
      </c>
      <c r="E17" s="157" t="s">
        <v>763</v>
      </c>
      <c r="F17" s="158" t="s">
        <v>717</v>
      </c>
      <c r="G17" s="850"/>
      <c r="H17" s="455"/>
      <c r="I17" s="455"/>
      <c r="J17" s="455"/>
      <c r="K17" s="455"/>
      <c r="L17" s="455"/>
      <c r="M17" s="455"/>
      <c r="N17" s="455"/>
      <c r="O17" s="455"/>
      <c r="P17" s="455"/>
      <c r="Q17" s="455"/>
      <c r="R17" s="455"/>
      <c r="S17" s="455"/>
      <c r="T17" s="455"/>
      <c r="U17" s="455"/>
      <c r="V17" s="455"/>
      <c r="W17" s="455"/>
      <c r="X17" s="455"/>
      <c r="Y17" s="455"/>
      <c r="Z17" s="455"/>
      <c r="AA17" s="134">
        <v>0.30299999999999999</v>
      </c>
      <c r="AB17" s="596" t="s">
        <v>39</v>
      </c>
      <c r="AC17" s="135">
        <f>'Ribassi PE'!$K$9</f>
        <v>7.0000000000000007E-2</v>
      </c>
      <c r="AD17" s="136">
        <f t="shared" si="0"/>
        <v>0.28199999999999997</v>
      </c>
      <c r="AE17" s="135">
        <f>'Ribassi PE'!$M$9</f>
        <v>0.45</v>
      </c>
      <c r="AF17" s="136">
        <f t="shared" si="1"/>
        <v>0.16700000000000001</v>
      </c>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ht="113.25" thickBot="1" x14ac:dyDescent="0.25">
      <c r="A18" s="578"/>
      <c r="B18" s="159" t="s">
        <v>764</v>
      </c>
      <c r="C18" s="160" t="s">
        <v>765</v>
      </c>
      <c r="D18" s="161" t="s">
        <v>766</v>
      </c>
      <c r="E18" s="162" t="s">
        <v>767</v>
      </c>
      <c r="F18" s="163" t="s">
        <v>717</v>
      </c>
      <c r="G18" s="851"/>
      <c r="H18" s="456"/>
      <c r="I18" s="456"/>
      <c r="J18" s="456"/>
      <c r="K18" s="456"/>
      <c r="L18" s="456"/>
      <c r="M18" s="456"/>
      <c r="N18" s="456"/>
      <c r="O18" s="456"/>
      <c r="P18" s="456"/>
      <c r="Q18" s="456"/>
      <c r="R18" s="456"/>
      <c r="S18" s="456"/>
      <c r="T18" s="456"/>
      <c r="U18" s="456"/>
      <c r="V18" s="456"/>
      <c r="W18" s="456"/>
      <c r="X18" s="456"/>
      <c r="Y18" s="456"/>
      <c r="Z18" s="456"/>
      <c r="AA18" s="137">
        <v>3.6999999999999998E-2</v>
      </c>
      <c r="AB18" s="597" t="s">
        <v>39</v>
      </c>
      <c r="AC18" s="138">
        <f>'Ribassi PE'!$K$9</f>
        <v>7.0000000000000007E-2</v>
      </c>
      <c r="AD18" s="139">
        <f t="shared" si="0"/>
        <v>3.4000000000000002E-2</v>
      </c>
      <c r="AE18" s="138">
        <f>'Ribassi PE'!$M$9</f>
        <v>0.45</v>
      </c>
      <c r="AF18" s="139">
        <f t="shared" si="1"/>
        <v>0.02</v>
      </c>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s="99" customFormat="1" ht="12.75" thickBot="1" x14ac:dyDescent="0.25">
      <c r="A19" s="98"/>
      <c r="B19" s="98"/>
      <c r="C19" s="98"/>
      <c r="D19" s="98"/>
      <c r="E19" s="98"/>
      <c r="F19" s="125" t="s">
        <v>329</v>
      </c>
      <c r="G19" s="126">
        <f t="shared" ref="G19:Z19" si="2">SUMPRODUCT(G7:G18,$AA$7:$AA$18)*G$4/12</f>
        <v>106618.07199999999</v>
      </c>
      <c r="H19" s="126">
        <f t="shared" si="2"/>
        <v>0</v>
      </c>
      <c r="I19" s="126">
        <f t="shared" si="2"/>
        <v>0</v>
      </c>
      <c r="J19" s="126">
        <f t="shared" si="2"/>
        <v>0</v>
      </c>
      <c r="K19" s="126">
        <f t="shared" si="2"/>
        <v>0</v>
      </c>
      <c r="L19" s="126">
        <f t="shared" si="2"/>
        <v>0</v>
      </c>
      <c r="M19" s="126">
        <f t="shared" si="2"/>
        <v>0</v>
      </c>
      <c r="N19" s="126">
        <f t="shared" si="2"/>
        <v>0</v>
      </c>
      <c r="O19" s="126">
        <f t="shared" si="2"/>
        <v>0</v>
      </c>
      <c r="P19" s="126">
        <f t="shared" si="2"/>
        <v>0</v>
      </c>
      <c r="Q19" s="126">
        <f t="shared" si="2"/>
        <v>0</v>
      </c>
      <c r="R19" s="126">
        <f t="shared" si="2"/>
        <v>0</v>
      </c>
      <c r="S19" s="126">
        <f t="shared" si="2"/>
        <v>0</v>
      </c>
      <c r="T19" s="126">
        <f t="shared" si="2"/>
        <v>0</v>
      </c>
      <c r="U19" s="126">
        <f t="shared" si="2"/>
        <v>0</v>
      </c>
      <c r="V19" s="126">
        <f t="shared" si="2"/>
        <v>0</v>
      </c>
      <c r="W19" s="126">
        <f t="shared" si="2"/>
        <v>0</v>
      </c>
      <c r="X19" s="126">
        <f t="shared" si="2"/>
        <v>0</v>
      </c>
      <c r="Y19" s="126">
        <f t="shared" si="2"/>
        <v>0</v>
      </c>
      <c r="Z19" s="126">
        <f t="shared" si="2"/>
        <v>0</v>
      </c>
      <c r="AA19" s="97"/>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6"/>
    </row>
    <row r="20" spans="1:57" s="99" customFormat="1" ht="12.75" thickBot="1" x14ac:dyDescent="0.25">
      <c r="A20" s="98"/>
      <c r="B20" s="98"/>
      <c r="C20" s="98"/>
      <c r="D20" s="98"/>
      <c r="E20" s="98"/>
      <c r="F20" s="598" t="s">
        <v>330</v>
      </c>
      <c r="G20" s="140">
        <f t="shared" ref="G20:Z20" si="3">SUMPRODUCT(G7:G18,$AD$7:$AD$18)*G$4/12</f>
        <v>99217.804000000004</v>
      </c>
      <c r="H20" s="140">
        <f t="shared" si="3"/>
        <v>0</v>
      </c>
      <c r="I20" s="140">
        <f t="shared" si="3"/>
        <v>0</v>
      </c>
      <c r="J20" s="140">
        <f t="shared" si="3"/>
        <v>0</v>
      </c>
      <c r="K20" s="140">
        <f t="shared" si="3"/>
        <v>0</v>
      </c>
      <c r="L20" s="140">
        <f t="shared" si="3"/>
        <v>0</v>
      </c>
      <c r="M20" s="140">
        <f t="shared" si="3"/>
        <v>0</v>
      </c>
      <c r="N20" s="140">
        <f t="shared" si="3"/>
        <v>0</v>
      </c>
      <c r="O20" s="140">
        <f t="shared" si="3"/>
        <v>0</v>
      </c>
      <c r="P20" s="140">
        <f t="shared" si="3"/>
        <v>0</v>
      </c>
      <c r="Q20" s="140">
        <f t="shared" si="3"/>
        <v>0</v>
      </c>
      <c r="R20" s="140">
        <f t="shared" si="3"/>
        <v>0</v>
      </c>
      <c r="S20" s="140">
        <f t="shared" si="3"/>
        <v>0</v>
      </c>
      <c r="T20" s="140">
        <f t="shared" si="3"/>
        <v>0</v>
      </c>
      <c r="U20" s="140">
        <f t="shared" si="3"/>
        <v>0</v>
      </c>
      <c r="V20" s="140">
        <f t="shared" si="3"/>
        <v>0</v>
      </c>
      <c r="W20" s="140">
        <f t="shared" si="3"/>
        <v>0</v>
      </c>
      <c r="X20" s="140">
        <f t="shared" si="3"/>
        <v>0</v>
      </c>
      <c r="Y20" s="140">
        <f t="shared" si="3"/>
        <v>0</v>
      </c>
      <c r="Z20" s="141">
        <f t="shared" si="3"/>
        <v>0</v>
      </c>
      <c r="AA20" s="97"/>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6"/>
    </row>
    <row r="21" spans="1:57" s="99" customFormat="1" ht="12.75" thickBot="1" x14ac:dyDescent="0.25">
      <c r="A21" s="98"/>
      <c r="B21" s="98"/>
      <c r="C21" s="98"/>
      <c r="D21" s="98"/>
      <c r="E21" s="98"/>
      <c r="F21" s="598" t="s">
        <v>331</v>
      </c>
      <c r="G21" s="140">
        <f t="shared" ref="G21:Z21" si="4">SUMPRODUCT(G7:G18,$AF$7:$AF$18)*G$4/12</f>
        <v>58745.02</v>
      </c>
      <c r="H21" s="140">
        <f t="shared" si="4"/>
        <v>0</v>
      </c>
      <c r="I21" s="140">
        <f t="shared" si="4"/>
        <v>0</v>
      </c>
      <c r="J21" s="140">
        <f t="shared" si="4"/>
        <v>0</v>
      </c>
      <c r="K21" s="140">
        <f t="shared" si="4"/>
        <v>0</v>
      </c>
      <c r="L21" s="140">
        <f t="shared" si="4"/>
        <v>0</v>
      </c>
      <c r="M21" s="140">
        <f t="shared" si="4"/>
        <v>0</v>
      </c>
      <c r="N21" s="140">
        <f t="shared" si="4"/>
        <v>0</v>
      </c>
      <c r="O21" s="140">
        <f t="shared" si="4"/>
        <v>0</v>
      </c>
      <c r="P21" s="140">
        <f t="shared" si="4"/>
        <v>0</v>
      </c>
      <c r="Q21" s="140">
        <f t="shared" si="4"/>
        <v>0</v>
      </c>
      <c r="R21" s="140">
        <f t="shared" si="4"/>
        <v>0</v>
      </c>
      <c r="S21" s="140">
        <f t="shared" si="4"/>
        <v>0</v>
      </c>
      <c r="T21" s="140">
        <f t="shared" si="4"/>
        <v>0</v>
      </c>
      <c r="U21" s="140">
        <f t="shared" si="4"/>
        <v>0</v>
      </c>
      <c r="V21" s="140">
        <f t="shared" si="4"/>
        <v>0</v>
      </c>
      <c r="W21" s="140">
        <f t="shared" si="4"/>
        <v>0</v>
      </c>
      <c r="X21" s="140">
        <f t="shared" si="4"/>
        <v>0</v>
      </c>
      <c r="Y21" s="140">
        <f t="shared" si="4"/>
        <v>0</v>
      </c>
      <c r="Z21" s="141">
        <f t="shared" si="4"/>
        <v>0</v>
      </c>
      <c r="AA21" s="97"/>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6"/>
    </row>
    <row r="22" spans="1:57" x14ac:dyDescent="0.2">
      <c r="A22" s="576"/>
      <c r="B22" s="98"/>
      <c r="C22" s="98"/>
      <c r="D22" s="98"/>
      <c r="E22" s="98"/>
      <c r="F22" s="98"/>
      <c r="G22" s="576"/>
      <c r="H22" s="576"/>
      <c r="I22" s="576"/>
      <c r="J22" s="576"/>
      <c r="K22" s="576"/>
      <c r="L22" s="576"/>
      <c r="M22" s="576"/>
      <c r="N22" s="576"/>
      <c r="O22" s="576"/>
      <c r="P22" s="576"/>
      <c r="Q22" s="576"/>
      <c r="R22" s="576"/>
      <c r="S22" s="576"/>
      <c r="T22" s="576"/>
      <c r="U22" s="576"/>
      <c r="V22" s="576"/>
      <c r="W22" s="576"/>
      <c r="X22" s="576"/>
      <c r="Y22" s="576"/>
      <c r="Z22" s="576"/>
      <c r="AA22" s="98"/>
      <c r="AB22" s="98"/>
      <c r="AC22" s="98"/>
      <c r="AD22" s="98"/>
      <c r="AE22" s="98"/>
      <c r="AF22" s="98"/>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x14ac:dyDescent="0.2">
      <c r="A23" s="576"/>
      <c r="B23" s="98"/>
      <c r="C23" s="98"/>
      <c r="D23" s="98"/>
      <c r="E23" s="98"/>
      <c r="F23" s="98"/>
      <c r="G23" s="576"/>
      <c r="H23" s="576"/>
      <c r="I23" s="576"/>
      <c r="J23" s="576"/>
      <c r="K23" s="576"/>
      <c r="L23" s="576"/>
      <c r="M23" s="576"/>
      <c r="N23" s="576"/>
      <c r="O23" s="576"/>
      <c r="P23" s="576"/>
      <c r="Q23" s="576"/>
      <c r="R23" s="576"/>
      <c r="S23" s="576"/>
      <c r="T23" s="576"/>
      <c r="U23" s="576"/>
      <c r="V23" s="576"/>
      <c r="W23" s="576"/>
      <c r="X23" s="576"/>
      <c r="Y23" s="576"/>
      <c r="Z23" s="576"/>
      <c r="AA23" s="98"/>
      <c r="AB23" s="98"/>
      <c r="AC23" s="98"/>
      <c r="AD23" s="98"/>
      <c r="AE23" s="98"/>
      <c r="AF23" s="98"/>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x14ac:dyDescent="0.2">
      <c r="A24" s="576"/>
      <c r="B24" s="98"/>
      <c r="C24" s="98"/>
      <c r="D24" s="98"/>
      <c r="E24" s="98"/>
      <c r="F24" s="98"/>
      <c r="G24" s="576"/>
      <c r="H24" s="576"/>
      <c r="I24" s="576"/>
      <c r="J24" s="576"/>
      <c r="K24" s="576"/>
      <c r="L24" s="576"/>
      <c r="M24" s="576"/>
      <c r="N24" s="576"/>
      <c r="O24" s="576"/>
      <c r="P24" s="576"/>
      <c r="Q24" s="576"/>
      <c r="R24" s="576"/>
      <c r="S24" s="576"/>
      <c r="T24" s="576"/>
      <c r="U24" s="576"/>
      <c r="V24" s="576"/>
      <c r="W24" s="576"/>
      <c r="X24" s="576"/>
      <c r="Y24" s="576"/>
      <c r="Z24" s="576"/>
      <c r="AA24" s="98"/>
      <c r="AB24" s="98"/>
      <c r="AC24" s="98"/>
      <c r="AD24" s="98"/>
      <c r="AE24" s="98"/>
      <c r="AF24" s="98"/>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x14ac:dyDescent="0.2">
      <c r="A25" s="576"/>
      <c r="B25" s="98"/>
      <c r="C25" s="98"/>
      <c r="D25" s="98"/>
      <c r="E25" s="98"/>
      <c r="F25" s="98"/>
      <c r="G25" s="576"/>
      <c r="H25" s="576"/>
      <c r="I25" s="576"/>
      <c r="J25" s="576"/>
      <c r="K25" s="576"/>
      <c r="L25" s="576"/>
      <c r="M25" s="576"/>
      <c r="N25" s="576"/>
      <c r="O25" s="576"/>
      <c r="P25" s="576"/>
      <c r="Q25" s="576"/>
      <c r="R25" s="576"/>
      <c r="S25" s="576"/>
      <c r="T25" s="576"/>
      <c r="U25" s="576"/>
      <c r="V25" s="576"/>
      <c r="W25" s="576"/>
      <c r="X25" s="576"/>
      <c r="Y25" s="576"/>
      <c r="Z25" s="576"/>
      <c r="AA25" s="98"/>
      <c r="AB25" s="98"/>
      <c r="AC25" s="98"/>
      <c r="AD25" s="98"/>
      <c r="AE25" s="98"/>
      <c r="AF25" s="98"/>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x14ac:dyDescent="0.2">
      <c r="A26" s="576"/>
      <c r="B26" s="98"/>
      <c r="C26" s="98"/>
      <c r="D26" s="98"/>
      <c r="E26" s="98"/>
      <c r="F26" s="98"/>
      <c r="G26" s="576"/>
      <c r="H26" s="576"/>
      <c r="I26" s="576"/>
      <c r="J26" s="576"/>
      <c r="K26" s="576"/>
      <c r="L26" s="576"/>
      <c r="M26" s="576"/>
      <c r="N26" s="576"/>
      <c r="O26" s="576"/>
      <c r="P26" s="576"/>
      <c r="Q26" s="576"/>
      <c r="R26" s="576"/>
      <c r="S26" s="576"/>
      <c r="T26" s="576"/>
      <c r="U26" s="576"/>
      <c r="V26" s="576"/>
      <c r="W26" s="576"/>
      <c r="X26" s="576"/>
      <c r="Y26" s="576"/>
      <c r="Z26" s="576"/>
      <c r="AA26" s="98"/>
      <c r="AB26" s="98"/>
      <c r="AC26" s="98"/>
      <c r="AD26" s="98"/>
      <c r="AE26" s="98"/>
      <c r="AF26" s="98"/>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x14ac:dyDescent="0.2">
      <c r="A27" s="576"/>
      <c r="B27" s="98"/>
      <c r="C27" s="98"/>
      <c r="D27" s="98"/>
      <c r="E27" s="98"/>
      <c r="F27" s="98"/>
      <c r="G27" s="576"/>
      <c r="H27" s="576"/>
      <c r="I27" s="576"/>
      <c r="J27" s="576"/>
      <c r="K27" s="576"/>
      <c r="L27" s="576"/>
      <c r="M27" s="576"/>
      <c r="N27" s="576"/>
      <c r="O27" s="576"/>
      <c r="P27" s="576"/>
      <c r="Q27" s="576"/>
      <c r="R27" s="576"/>
      <c r="S27" s="576"/>
      <c r="T27" s="576"/>
      <c r="U27" s="576"/>
      <c r="V27" s="576"/>
      <c r="W27" s="576"/>
      <c r="X27" s="576"/>
      <c r="Y27" s="576"/>
      <c r="Z27" s="576"/>
      <c r="AA27" s="98"/>
      <c r="AB27" s="98"/>
      <c r="AC27" s="98"/>
      <c r="AD27" s="98"/>
      <c r="AE27" s="98"/>
      <c r="AF27" s="98"/>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x14ac:dyDescent="0.2">
      <c r="A28" s="576"/>
      <c r="B28" s="98"/>
      <c r="C28" s="98"/>
      <c r="D28" s="98"/>
      <c r="E28" s="98"/>
      <c r="F28" s="98"/>
      <c r="G28" s="576"/>
      <c r="H28" s="576"/>
      <c r="I28" s="576"/>
      <c r="J28" s="576"/>
      <c r="K28" s="576"/>
      <c r="L28" s="576"/>
      <c r="M28" s="576"/>
      <c r="N28" s="576"/>
      <c r="O28" s="576"/>
      <c r="P28" s="576"/>
      <c r="Q28" s="576"/>
      <c r="R28" s="576"/>
      <c r="S28" s="576"/>
      <c r="T28" s="576"/>
      <c r="U28" s="576"/>
      <c r="V28" s="576"/>
      <c r="W28" s="576"/>
      <c r="X28" s="576"/>
      <c r="Y28" s="576"/>
      <c r="Z28" s="576"/>
      <c r="AA28" s="98"/>
      <c r="AB28" s="98"/>
      <c r="AC28" s="98"/>
      <c r="AD28" s="98"/>
      <c r="AE28" s="98"/>
      <c r="AF28" s="98"/>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x14ac:dyDescent="0.2">
      <c r="A29" s="576"/>
      <c r="B29" s="98"/>
      <c r="C29" s="98"/>
      <c r="D29" s="98"/>
      <c r="E29" s="98"/>
      <c r="F29" s="98"/>
      <c r="G29" s="576"/>
      <c r="H29" s="576"/>
      <c r="I29" s="576"/>
      <c r="J29" s="576"/>
      <c r="K29" s="576"/>
      <c r="L29" s="576"/>
      <c r="M29" s="576"/>
      <c r="N29" s="576"/>
      <c r="O29" s="576"/>
      <c r="P29" s="576"/>
      <c r="Q29" s="576"/>
      <c r="R29" s="576"/>
      <c r="S29" s="576"/>
      <c r="T29" s="576"/>
      <c r="U29" s="576"/>
      <c r="V29" s="576"/>
      <c r="W29" s="576"/>
      <c r="X29" s="576"/>
      <c r="Y29" s="576"/>
      <c r="Z29" s="576"/>
      <c r="AA29" s="98"/>
      <c r="AB29" s="98"/>
      <c r="AC29" s="98"/>
      <c r="AD29" s="98"/>
      <c r="AE29" s="98"/>
      <c r="AF29" s="98"/>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x14ac:dyDescent="0.2">
      <c r="A30" s="576"/>
      <c r="B30" s="98"/>
      <c r="C30" s="98"/>
      <c r="D30" s="98"/>
      <c r="E30" s="98"/>
      <c r="F30" s="98"/>
      <c r="G30" s="576"/>
      <c r="H30" s="576"/>
      <c r="I30" s="576"/>
      <c r="J30" s="576"/>
      <c r="K30" s="576"/>
      <c r="L30" s="576"/>
      <c r="M30" s="576"/>
      <c r="N30" s="576"/>
      <c r="O30" s="576"/>
      <c r="P30" s="576"/>
      <c r="Q30" s="576"/>
      <c r="R30" s="576"/>
      <c r="S30" s="576"/>
      <c r="T30" s="576"/>
      <c r="U30" s="576"/>
      <c r="V30" s="576"/>
      <c r="W30" s="576"/>
      <c r="X30" s="576"/>
      <c r="Y30" s="576"/>
      <c r="Z30" s="576"/>
      <c r="AA30" s="98"/>
      <c r="AB30" s="98"/>
      <c r="AC30" s="98"/>
      <c r="AD30" s="98"/>
      <c r="AE30" s="98"/>
      <c r="AF30" s="98"/>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x14ac:dyDescent="0.2">
      <c r="A31" s="576"/>
      <c r="B31" s="98"/>
      <c r="C31" s="98"/>
      <c r="D31" s="98"/>
      <c r="E31" s="98"/>
      <c r="F31" s="98"/>
      <c r="G31" s="576"/>
      <c r="H31" s="576"/>
      <c r="I31" s="576"/>
      <c r="J31" s="576"/>
      <c r="K31" s="576"/>
      <c r="L31" s="576"/>
      <c r="M31" s="576"/>
      <c r="N31" s="576"/>
      <c r="O31" s="576"/>
      <c r="P31" s="576"/>
      <c r="Q31" s="576"/>
      <c r="R31" s="576"/>
      <c r="S31" s="576"/>
      <c r="T31" s="576"/>
      <c r="U31" s="576"/>
      <c r="V31" s="576"/>
      <c r="W31" s="576"/>
      <c r="X31" s="576"/>
      <c r="Y31" s="576"/>
      <c r="Z31" s="576"/>
      <c r="AA31" s="98"/>
      <c r="AB31" s="98"/>
      <c r="AC31" s="98"/>
      <c r="AD31" s="98"/>
      <c r="AE31" s="98"/>
      <c r="AF31" s="98"/>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x14ac:dyDescent="0.2">
      <c r="A32" s="576"/>
      <c r="B32" s="98"/>
      <c r="C32" s="98"/>
      <c r="D32" s="98"/>
      <c r="E32" s="98"/>
      <c r="F32" s="98"/>
      <c r="G32" s="576"/>
      <c r="H32" s="576"/>
      <c r="I32" s="576"/>
      <c r="J32" s="576"/>
      <c r="K32" s="576"/>
      <c r="L32" s="576"/>
      <c r="M32" s="576"/>
      <c r="N32" s="576"/>
      <c r="O32" s="576"/>
      <c r="P32" s="576"/>
      <c r="Q32" s="576"/>
      <c r="R32" s="576"/>
      <c r="S32" s="576"/>
      <c r="T32" s="576"/>
      <c r="U32" s="576"/>
      <c r="V32" s="576"/>
      <c r="W32" s="576"/>
      <c r="X32" s="576"/>
      <c r="Y32" s="576"/>
      <c r="Z32" s="576"/>
      <c r="AA32" s="98"/>
      <c r="AB32" s="98"/>
      <c r="AC32" s="98"/>
      <c r="AD32" s="98"/>
      <c r="AE32" s="98"/>
      <c r="AF32" s="98"/>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x14ac:dyDescent="0.2">
      <c r="A33" s="576"/>
      <c r="B33" s="98"/>
      <c r="C33" s="98"/>
      <c r="D33" s="98"/>
      <c r="E33" s="98"/>
      <c r="F33" s="98"/>
      <c r="G33" s="576"/>
      <c r="H33" s="576"/>
      <c r="I33" s="576"/>
      <c r="J33" s="576"/>
      <c r="K33" s="576"/>
      <c r="L33" s="576"/>
      <c r="M33" s="576"/>
      <c r="N33" s="576"/>
      <c r="O33" s="576"/>
      <c r="P33" s="576"/>
      <c r="Q33" s="576"/>
      <c r="R33" s="576"/>
      <c r="S33" s="576"/>
      <c r="T33" s="576"/>
      <c r="U33" s="576"/>
      <c r="V33" s="576"/>
      <c r="W33" s="576"/>
      <c r="X33" s="576"/>
      <c r="Y33" s="576"/>
      <c r="Z33" s="576"/>
      <c r="AA33" s="98"/>
      <c r="AB33" s="98"/>
      <c r="AC33" s="98"/>
      <c r="AD33" s="98"/>
      <c r="AE33" s="98"/>
      <c r="AF33" s="98"/>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x14ac:dyDescent="0.2">
      <c r="A34" s="576"/>
      <c r="B34" s="98"/>
      <c r="C34" s="98"/>
      <c r="D34" s="98"/>
      <c r="E34" s="98"/>
      <c r="F34" s="98"/>
      <c r="G34" s="576"/>
      <c r="H34" s="576"/>
      <c r="I34" s="576"/>
      <c r="J34" s="576"/>
      <c r="K34" s="576"/>
      <c r="L34" s="576"/>
      <c r="M34" s="576"/>
      <c r="N34" s="576"/>
      <c r="O34" s="576"/>
      <c r="P34" s="576"/>
      <c r="Q34" s="576"/>
      <c r="R34" s="576"/>
      <c r="S34" s="576"/>
      <c r="T34" s="576"/>
      <c r="U34" s="576"/>
      <c r="V34" s="576"/>
      <c r="W34" s="576"/>
      <c r="X34" s="576"/>
      <c r="Y34" s="576"/>
      <c r="Z34" s="576"/>
      <c r="AA34" s="98"/>
      <c r="AB34" s="98"/>
      <c r="AC34" s="98"/>
      <c r="AD34" s="98"/>
      <c r="AE34" s="98"/>
      <c r="AF34" s="98"/>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x14ac:dyDescent="0.2">
      <c r="A35" s="576"/>
      <c r="B35" s="98"/>
      <c r="C35" s="98"/>
      <c r="D35" s="98"/>
      <c r="E35" s="98"/>
      <c r="F35" s="98"/>
      <c r="G35" s="576"/>
      <c r="H35" s="576"/>
      <c r="I35" s="576"/>
      <c r="J35" s="576"/>
      <c r="K35" s="576"/>
      <c r="L35" s="576"/>
      <c r="M35" s="576"/>
      <c r="N35" s="576"/>
      <c r="O35" s="576"/>
      <c r="P35" s="576"/>
      <c r="Q35" s="576"/>
      <c r="R35" s="576"/>
      <c r="S35" s="576"/>
      <c r="T35" s="576"/>
      <c r="U35" s="576"/>
      <c r="V35" s="576"/>
      <c r="W35" s="576"/>
      <c r="X35" s="576"/>
      <c r="Y35" s="576"/>
      <c r="Z35" s="576"/>
      <c r="AA35" s="98"/>
      <c r="AB35" s="98"/>
      <c r="AC35" s="98"/>
      <c r="AD35" s="98"/>
      <c r="AE35" s="98"/>
      <c r="AF35" s="98"/>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x14ac:dyDescent="0.2">
      <c r="A36" s="576"/>
      <c r="B36" s="98"/>
      <c r="C36" s="98"/>
      <c r="D36" s="98"/>
      <c r="E36" s="98"/>
      <c r="F36" s="98"/>
      <c r="G36" s="576"/>
      <c r="H36" s="576"/>
      <c r="I36" s="576"/>
      <c r="J36" s="576"/>
      <c r="K36" s="576"/>
      <c r="L36" s="576"/>
      <c r="M36" s="576"/>
      <c r="N36" s="576"/>
      <c r="O36" s="576"/>
      <c r="P36" s="576"/>
      <c r="Q36" s="576"/>
      <c r="R36" s="576"/>
      <c r="S36" s="576"/>
      <c r="T36" s="576"/>
      <c r="U36" s="576"/>
      <c r="V36" s="576"/>
      <c r="W36" s="576"/>
      <c r="X36" s="576"/>
      <c r="Y36" s="576"/>
      <c r="Z36" s="576"/>
      <c r="AA36" s="98"/>
      <c r="AB36" s="98"/>
      <c r="AC36" s="98"/>
      <c r="AD36" s="98"/>
      <c r="AE36" s="98"/>
      <c r="AF36" s="98"/>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6"/>
      <c r="B82" s="98"/>
      <c r="C82" s="98"/>
      <c r="D82" s="98"/>
      <c r="E82" s="98"/>
      <c r="F82" s="98"/>
      <c r="G82" s="576"/>
      <c r="H82" s="576"/>
      <c r="I82" s="576"/>
      <c r="J82" s="576"/>
      <c r="K82" s="576"/>
      <c r="L82" s="576"/>
      <c r="M82" s="576"/>
      <c r="N82" s="576"/>
      <c r="O82" s="576"/>
      <c r="P82" s="576"/>
      <c r="Q82" s="576"/>
      <c r="R82" s="576"/>
      <c r="S82" s="576"/>
      <c r="T82" s="576"/>
      <c r="U82" s="576"/>
      <c r="V82" s="576"/>
      <c r="W82" s="576"/>
      <c r="X82" s="576"/>
      <c r="Y82" s="576"/>
      <c r="Z82" s="576"/>
      <c r="AA82" s="98"/>
      <c r="AB82" s="98"/>
      <c r="AC82" s="98"/>
      <c r="AD82" s="98"/>
      <c r="AE82" s="98"/>
      <c r="AF82" s="98"/>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7"/>
    </row>
    <row r="83" spans="1:57" x14ac:dyDescent="0.2">
      <c r="A83" s="576"/>
      <c r="B83" s="98"/>
      <c r="C83" s="98"/>
      <c r="D83" s="98"/>
      <c r="E83" s="98"/>
      <c r="F83" s="98"/>
      <c r="G83" s="576"/>
      <c r="H83" s="576"/>
      <c r="I83" s="576"/>
      <c r="J83" s="576"/>
      <c r="K83" s="576"/>
      <c r="L83" s="576"/>
      <c r="M83" s="576"/>
      <c r="N83" s="576"/>
      <c r="O83" s="576"/>
      <c r="P83" s="576"/>
      <c r="Q83" s="576"/>
      <c r="R83" s="576"/>
      <c r="S83" s="576"/>
      <c r="T83" s="576"/>
      <c r="U83" s="576"/>
      <c r="V83" s="576"/>
      <c r="W83" s="576"/>
      <c r="X83" s="576"/>
      <c r="Y83" s="576"/>
      <c r="Z83" s="576"/>
      <c r="AA83" s="98"/>
      <c r="AB83" s="98"/>
      <c r="AC83" s="98"/>
      <c r="AD83" s="98"/>
      <c r="AE83" s="98"/>
      <c r="AF83" s="98"/>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7"/>
    </row>
    <row r="84" spans="1:57" x14ac:dyDescent="0.2">
      <c r="A84" s="576"/>
      <c r="B84" s="98"/>
      <c r="C84" s="98"/>
      <c r="D84" s="98"/>
      <c r="E84" s="98"/>
      <c r="F84" s="98"/>
      <c r="G84" s="576"/>
      <c r="H84" s="576"/>
      <c r="I84" s="576"/>
      <c r="J84" s="576"/>
      <c r="K84" s="576"/>
      <c r="L84" s="576"/>
      <c r="M84" s="576"/>
      <c r="N84" s="576"/>
      <c r="O84" s="576"/>
      <c r="P84" s="576"/>
      <c r="Q84" s="576"/>
      <c r="R84" s="576"/>
      <c r="S84" s="576"/>
      <c r="T84" s="576"/>
      <c r="U84" s="576"/>
      <c r="V84" s="576"/>
      <c r="W84" s="576"/>
      <c r="X84" s="576"/>
      <c r="Y84" s="576"/>
      <c r="Z84" s="576"/>
      <c r="AA84" s="98"/>
      <c r="AB84" s="98"/>
      <c r="AC84" s="98"/>
      <c r="AD84" s="98"/>
      <c r="AE84" s="98"/>
      <c r="AF84" s="98"/>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7"/>
    </row>
    <row r="85" spans="1:57" x14ac:dyDescent="0.2">
      <c r="A85" s="576"/>
      <c r="B85" s="98"/>
      <c r="C85" s="98"/>
      <c r="D85" s="98"/>
      <c r="E85" s="98"/>
      <c r="F85" s="98"/>
      <c r="G85" s="576"/>
      <c r="H85" s="576"/>
      <c r="I85" s="576"/>
      <c r="J85" s="576"/>
      <c r="K85" s="576"/>
      <c r="L85" s="576"/>
      <c r="M85" s="576"/>
      <c r="N85" s="576"/>
      <c r="O85" s="576"/>
      <c r="P85" s="576"/>
      <c r="Q85" s="576"/>
      <c r="R85" s="576"/>
      <c r="S85" s="576"/>
      <c r="T85" s="576"/>
      <c r="U85" s="576"/>
      <c r="V85" s="576"/>
      <c r="W85" s="576"/>
      <c r="X85" s="576"/>
      <c r="Y85" s="576"/>
      <c r="Z85" s="576"/>
      <c r="AA85" s="98"/>
      <c r="AB85" s="98"/>
      <c r="AC85" s="98"/>
      <c r="AD85" s="98"/>
      <c r="AE85" s="98"/>
      <c r="AF85" s="98"/>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7"/>
    </row>
    <row r="86" spans="1:57" x14ac:dyDescent="0.2">
      <c r="A86" s="579"/>
      <c r="B86" s="100"/>
      <c r="C86" s="100"/>
      <c r="D86" s="100"/>
      <c r="E86" s="100"/>
      <c r="F86" s="100"/>
      <c r="G86" s="579"/>
      <c r="H86" s="579"/>
      <c r="I86" s="579"/>
      <c r="J86" s="579"/>
      <c r="K86" s="579"/>
      <c r="L86" s="579"/>
      <c r="M86" s="579"/>
      <c r="N86" s="579"/>
      <c r="O86" s="579"/>
      <c r="P86" s="579"/>
      <c r="Q86" s="579"/>
      <c r="R86" s="579"/>
      <c r="S86" s="579"/>
      <c r="T86" s="579"/>
      <c r="U86" s="579"/>
      <c r="V86" s="579"/>
      <c r="W86" s="579"/>
      <c r="X86" s="579"/>
      <c r="Y86" s="579"/>
      <c r="Z86" s="579"/>
      <c r="AA86" s="100"/>
      <c r="AB86" s="100"/>
      <c r="AC86" s="100"/>
      <c r="AD86" s="100"/>
      <c r="AE86" s="100"/>
      <c r="AF86" s="100"/>
      <c r="AG86" s="579"/>
      <c r="AH86" s="579"/>
      <c r="AI86" s="579"/>
      <c r="AJ86" s="579"/>
      <c r="AK86" s="579"/>
      <c r="AL86" s="579"/>
      <c r="AM86" s="579"/>
      <c r="AN86" s="579"/>
      <c r="AO86" s="579"/>
      <c r="AP86" s="579"/>
      <c r="AQ86" s="579"/>
      <c r="AR86" s="579"/>
      <c r="AS86" s="579"/>
      <c r="AT86" s="579"/>
      <c r="AU86" s="579"/>
      <c r="AV86" s="579"/>
      <c r="AW86" s="579"/>
      <c r="AX86" s="579"/>
      <c r="AY86" s="579"/>
      <c r="AZ86" s="579"/>
      <c r="BA86" s="579"/>
      <c r="BB86" s="579"/>
      <c r="BC86" s="579"/>
      <c r="BD86" s="579"/>
      <c r="BE86" s="580"/>
    </row>
  </sheetData>
  <sheetProtection algorithmName="SHA-512" hashValue="jYPgZbhTL8XXB/NCM0mZ75DxtGqqfFCT1/0JOKRiPNS5oANRPhV4Et+yq9ikYhEaYjupx6Gl5DvS+vzSqSKZdw==" saltValue="UY1BtXA9hYESSHHCsKXYpw==" spinCount="100000" sheet="1" selectLockedCells="1"/>
  <dataConsolidate link="1"/>
  <conditionalFormatting sqref="G4:Z4 G7:Z18">
    <cfRule type="notContainsBlanks" dxfId="22"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1100-000000000000}">
      <formula1>1</formula1>
      <formula2>48</formula2>
    </dataValidation>
  </dataValidations>
  <pageMargins left="0.7" right="0.7" top="0.75" bottom="0.75" header="0.3" footer="0.3"/>
  <pageSetup paperSize="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14"/>
  <dimension ref="A1:BC123"/>
  <sheetViews>
    <sheetView zoomScaleNormal="100" workbookViewId="0">
      <pane xSplit="4" ySplit="6" topLeftCell="E18" activePane="bottomRight" state="frozen"/>
      <selection pane="topRight" activeCell="E1" sqref="E1"/>
      <selection pane="bottomLeft" activeCell="A7" sqref="A7"/>
      <selection pane="bottomRight" activeCell="E23" sqref="E23"/>
    </sheetView>
  </sheetViews>
  <sheetFormatPr defaultColWidth="9.140625" defaultRowHeight="11.25" x14ac:dyDescent="0.2"/>
  <cols>
    <col min="1" max="1" width="0.5703125" style="573" customWidth="1"/>
    <col min="2" max="2" width="10.140625" style="99" customWidth="1"/>
    <col min="3" max="3" width="29" style="99" customWidth="1"/>
    <col min="4" max="4" width="14.28515625" style="99" bestFit="1" customWidth="1"/>
    <col min="5" max="24" width="12.5703125" style="573" customWidth="1"/>
    <col min="25" max="25" width="12.42578125" style="99" bestFit="1" customWidth="1"/>
    <col min="26" max="26" width="5.140625" style="99" bestFit="1" customWidth="1"/>
    <col min="27" max="27" width="7.5703125" style="99" bestFit="1" customWidth="1"/>
    <col min="28" max="28" width="12.28515625" style="99" bestFit="1" customWidth="1"/>
    <col min="29" max="29" width="7.5703125" style="99" bestFit="1" customWidth="1"/>
    <col min="30" max="30" width="12.28515625" style="99" bestFit="1" customWidth="1"/>
    <col min="31" max="16384" width="9.140625" style="573"/>
  </cols>
  <sheetData>
    <row r="1" spans="1:55" s="99" customFormat="1" ht="12" thickBot="1" x14ac:dyDescent="0.25"/>
    <row r="2" spans="1:55" s="99" customFormat="1" ht="12.75" thickBot="1" x14ac:dyDescent="0.25">
      <c r="E2" s="125" t="s">
        <v>308</v>
      </c>
      <c r="F2" s="125" t="s">
        <v>309</v>
      </c>
      <c r="G2" s="125" t="s">
        <v>310</v>
      </c>
      <c r="H2" s="125" t="s">
        <v>311</v>
      </c>
      <c r="I2" s="125" t="s">
        <v>312</v>
      </c>
      <c r="J2" s="125" t="s">
        <v>313</v>
      </c>
      <c r="K2" s="125" t="s">
        <v>314</v>
      </c>
      <c r="L2" s="125" t="s">
        <v>315</v>
      </c>
      <c r="M2" s="125" t="s">
        <v>316</v>
      </c>
      <c r="N2" s="125" t="s">
        <v>317</v>
      </c>
      <c r="O2" s="125" t="s">
        <v>318</v>
      </c>
      <c r="P2" s="125" t="s">
        <v>319</v>
      </c>
      <c r="Q2" s="125" t="s">
        <v>320</v>
      </c>
      <c r="R2" s="125" t="s">
        <v>321</v>
      </c>
      <c r="S2" s="125" t="s">
        <v>322</v>
      </c>
      <c r="T2" s="125" t="s">
        <v>323</v>
      </c>
      <c r="U2" s="125" t="s">
        <v>324</v>
      </c>
      <c r="V2" s="125" t="s">
        <v>325</v>
      </c>
      <c r="W2" s="125" t="s">
        <v>326</v>
      </c>
      <c r="X2" s="125" t="s">
        <v>327</v>
      </c>
    </row>
    <row r="3" spans="1:55" s="119" customFormat="1" ht="24" customHeight="1" thickBot="1" x14ac:dyDescent="0.3">
      <c r="D3" s="124" t="s">
        <v>1170</v>
      </c>
      <c r="E3" s="487" t="str">
        <f>IF('Elenco immobili'!$C$4="","",'Elenco immobili'!$C$4)</f>
        <v>Sede ICE-AGID</v>
      </c>
      <c r="F3" s="487" t="str">
        <f>IF('Elenco immobili'!$C$5="","",'Elenco immobili'!$C$5)</f>
        <v/>
      </c>
      <c r="G3" s="487" t="str">
        <f>IF('Elenco immobili'!$C$6="","",'Elenco immobili'!$C$6)</f>
        <v/>
      </c>
      <c r="H3" s="487" t="str">
        <f>IF('Elenco immobili'!$C$7="","",'Elenco immobili'!$C$7)</f>
        <v/>
      </c>
      <c r="I3" s="487" t="str">
        <f>IF('Elenco immobili'!$C$8="","",'Elenco immobili'!$C$8)</f>
        <v/>
      </c>
      <c r="J3" s="487" t="str">
        <f>IF('Elenco immobili'!$C$9="","",'Elenco immobili'!$C$9)</f>
        <v/>
      </c>
      <c r="K3" s="487" t="str">
        <f>IF('Elenco immobili'!$C$10="","",'Elenco immobili'!$C$10)</f>
        <v/>
      </c>
      <c r="L3" s="487" t="str">
        <f>IF('Elenco immobili'!$C$11="","",'Elenco immobili'!$C$11)</f>
        <v/>
      </c>
      <c r="M3" s="487" t="str">
        <f>IF('Elenco immobili'!$C$12="","",'Elenco immobili'!$C$12)</f>
        <v/>
      </c>
      <c r="N3" s="487" t="str">
        <f>IF('Elenco immobili'!$C$13="","",'Elenco immobili'!$C$13)</f>
        <v/>
      </c>
      <c r="O3" s="487" t="str">
        <f>IF('Elenco immobili'!$C$14="","",'Elenco immobili'!$C$14)</f>
        <v/>
      </c>
      <c r="P3" s="487" t="str">
        <f>IF('Elenco immobili'!$C$15="","",'Elenco immobili'!$C$15)</f>
        <v/>
      </c>
      <c r="Q3" s="487" t="str">
        <f>IF('Elenco immobili'!$C$16="","",'Elenco immobili'!$C$16)</f>
        <v/>
      </c>
      <c r="R3" s="487" t="str">
        <f>IF('Elenco immobili'!$C$17="","",'Elenco immobili'!$C$17)</f>
        <v/>
      </c>
      <c r="S3" s="487" t="str">
        <f>IF('Elenco immobili'!$C$18="","",'Elenco immobili'!$C$18)</f>
        <v/>
      </c>
      <c r="T3" s="487" t="str">
        <f>IF('Elenco immobili'!$C$19="","",'Elenco immobili'!$C$19)</f>
        <v/>
      </c>
      <c r="U3" s="487" t="str">
        <f>IF('Elenco immobili'!$C$20="","",'Elenco immobili'!$C$20)</f>
        <v/>
      </c>
      <c r="V3" s="487" t="str">
        <f>IF('Elenco immobili'!$C$21="","",'Elenco immobili'!$C$21)</f>
        <v/>
      </c>
      <c r="W3" s="487" t="str">
        <f>IF('Elenco immobili'!$C$22="","",'Elenco immobili'!$C$22)</f>
        <v/>
      </c>
      <c r="X3" s="487" t="str">
        <f>IF('Elenco immobili'!$C$23="","",'Elenco immobili'!$C$23)</f>
        <v/>
      </c>
    </row>
    <row r="4" spans="1:55" ht="13.5" thickBot="1" x14ac:dyDescent="0.25">
      <c r="B4" s="105" t="s">
        <v>770</v>
      </c>
      <c r="D4" s="125" t="s">
        <v>328</v>
      </c>
      <c r="E4" s="599">
        <v>48</v>
      </c>
      <c r="F4" s="599"/>
      <c r="G4" s="599"/>
      <c r="H4" s="599"/>
      <c r="I4" s="599"/>
      <c r="J4" s="599"/>
      <c r="K4" s="599"/>
      <c r="L4" s="599"/>
      <c r="M4" s="599"/>
      <c r="N4" s="599"/>
      <c r="O4" s="599"/>
      <c r="P4" s="599"/>
      <c r="Q4" s="599"/>
      <c r="R4" s="599"/>
      <c r="S4" s="599"/>
      <c r="T4" s="599"/>
      <c r="U4" s="599"/>
      <c r="V4" s="599"/>
      <c r="W4" s="599"/>
      <c r="X4" s="599"/>
    </row>
    <row r="5" spans="1:55" ht="3" customHeight="1" thickBot="1" x14ac:dyDescent="0.25">
      <c r="E5" s="102"/>
      <c r="F5" s="102"/>
      <c r="G5" s="102"/>
      <c r="H5" s="102"/>
      <c r="I5" s="102"/>
      <c r="J5" s="102"/>
      <c r="K5" s="102"/>
      <c r="L5" s="102"/>
      <c r="M5" s="102"/>
      <c r="N5" s="102"/>
      <c r="O5" s="102"/>
      <c r="P5" s="102"/>
      <c r="Q5" s="102"/>
      <c r="R5" s="102"/>
      <c r="S5" s="102"/>
      <c r="T5" s="102"/>
      <c r="U5" s="102"/>
      <c r="V5" s="102"/>
      <c r="W5" s="102"/>
      <c r="X5" s="102"/>
    </row>
    <row r="6" spans="1:55" s="99" customFormat="1" ht="24" customHeight="1" thickBot="1" x14ac:dyDescent="0.25">
      <c r="A6" s="101"/>
      <c r="B6" s="121" t="s">
        <v>1186</v>
      </c>
      <c r="C6" s="122" t="s">
        <v>253</v>
      </c>
      <c r="D6" s="123" t="s">
        <v>1174</v>
      </c>
      <c r="E6" s="588" t="s">
        <v>1164</v>
      </c>
      <c r="F6" s="588" t="s">
        <v>1164</v>
      </c>
      <c r="G6" s="588" t="s">
        <v>1164</v>
      </c>
      <c r="H6" s="588" t="s">
        <v>1164</v>
      </c>
      <c r="I6" s="588" t="s">
        <v>1164</v>
      </c>
      <c r="J6" s="588" t="s">
        <v>1164</v>
      </c>
      <c r="K6" s="588" t="s">
        <v>1164</v>
      </c>
      <c r="L6" s="588" t="s">
        <v>1164</v>
      </c>
      <c r="M6" s="588" t="s">
        <v>1164</v>
      </c>
      <c r="N6" s="588" t="s">
        <v>1164</v>
      </c>
      <c r="O6" s="588" t="s">
        <v>1164</v>
      </c>
      <c r="P6" s="588" t="s">
        <v>1164</v>
      </c>
      <c r="Q6" s="588" t="s">
        <v>1164</v>
      </c>
      <c r="R6" s="588" t="s">
        <v>1164</v>
      </c>
      <c r="S6" s="588" t="s">
        <v>1164</v>
      </c>
      <c r="T6" s="588" t="s">
        <v>1164</v>
      </c>
      <c r="U6" s="588" t="s">
        <v>1164</v>
      </c>
      <c r="V6" s="588" t="s">
        <v>1164</v>
      </c>
      <c r="W6" s="588" t="s">
        <v>1164</v>
      </c>
      <c r="X6" s="588" t="s">
        <v>1164</v>
      </c>
      <c r="Y6" s="127" t="s">
        <v>1187</v>
      </c>
      <c r="Z6" s="128" t="s">
        <v>51</v>
      </c>
      <c r="AA6" s="128" t="s">
        <v>143</v>
      </c>
      <c r="AB6" s="128" t="s">
        <v>1188</v>
      </c>
      <c r="AC6" s="128" t="s">
        <v>160</v>
      </c>
      <c r="AD6" s="128" t="s">
        <v>1189</v>
      </c>
      <c r="AE6" s="98"/>
      <c r="AF6" s="98"/>
      <c r="AG6" s="98"/>
      <c r="AH6" s="98"/>
      <c r="AI6" s="98"/>
      <c r="AJ6" s="98"/>
      <c r="AK6" s="98"/>
      <c r="AL6" s="98"/>
      <c r="AM6" s="98"/>
      <c r="AN6" s="98"/>
      <c r="AO6" s="98"/>
      <c r="AP6" s="98"/>
      <c r="AQ6" s="98"/>
      <c r="AR6" s="98"/>
      <c r="AS6" s="98"/>
      <c r="AT6" s="98"/>
      <c r="AU6" s="98"/>
      <c r="AV6" s="98"/>
      <c r="AW6" s="98"/>
      <c r="AX6" s="98"/>
      <c r="AY6" s="98"/>
      <c r="AZ6" s="98"/>
      <c r="BA6" s="98"/>
      <c r="BB6" s="98"/>
      <c r="BC6" s="96"/>
    </row>
    <row r="7" spans="1:55" ht="23.25" thickBot="1" x14ac:dyDescent="0.25">
      <c r="A7" s="575"/>
      <c r="B7" s="970" t="s">
        <v>772</v>
      </c>
      <c r="C7" s="310" t="s">
        <v>1307</v>
      </c>
      <c r="D7" s="303" t="s">
        <v>773</v>
      </c>
      <c r="E7" s="849"/>
      <c r="F7" s="454"/>
      <c r="G7" s="454"/>
      <c r="H7" s="454"/>
      <c r="I7" s="454"/>
      <c r="J7" s="454"/>
      <c r="K7" s="454"/>
      <c r="L7" s="454"/>
      <c r="M7" s="454"/>
      <c r="N7" s="454"/>
      <c r="O7" s="454"/>
      <c r="P7" s="454"/>
      <c r="Q7" s="454"/>
      <c r="R7" s="454"/>
      <c r="S7" s="454"/>
      <c r="T7" s="454"/>
      <c r="U7" s="454"/>
      <c r="V7" s="454"/>
      <c r="W7" s="454"/>
      <c r="X7" s="454"/>
      <c r="Y7" s="130">
        <v>24.25</v>
      </c>
      <c r="Z7" s="610" t="s">
        <v>40</v>
      </c>
      <c r="AA7" s="131">
        <f>'Ribassi PE'!$K$44</f>
        <v>0.27</v>
      </c>
      <c r="AB7" s="132">
        <f t="shared" ref="AB7:AB54" si="0">ROUND(Y7*(1-AA7),3)</f>
        <v>17.702999999999999</v>
      </c>
      <c r="AC7" s="133">
        <f>'Ribassi PE'!$M$44</f>
        <v>0.19</v>
      </c>
      <c r="AD7" s="132">
        <f t="shared" ref="AD7:AD54" si="1">ROUND(Y7*(1-AC7),3)</f>
        <v>19.643000000000001</v>
      </c>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7"/>
    </row>
    <row r="8" spans="1:55" ht="23.25" thickBot="1" x14ac:dyDescent="0.25">
      <c r="A8" s="575"/>
      <c r="B8" s="968"/>
      <c r="C8" s="762" t="s">
        <v>1308</v>
      </c>
      <c r="D8" s="763" t="s">
        <v>773</v>
      </c>
      <c r="E8" s="859"/>
      <c r="F8" s="461"/>
      <c r="G8" s="461"/>
      <c r="H8" s="461"/>
      <c r="I8" s="461"/>
      <c r="J8" s="461"/>
      <c r="K8" s="461"/>
      <c r="L8" s="461"/>
      <c r="M8" s="461"/>
      <c r="N8" s="461"/>
      <c r="O8" s="461"/>
      <c r="P8" s="461"/>
      <c r="Q8" s="461"/>
      <c r="R8" s="461"/>
      <c r="S8" s="461"/>
      <c r="T8" s="461"/>
      <c r="U8" s="461"/>
      <c r="V8" s="461"/>
      <c r="W8" s="461"/>
      <c r="X8" s="461"/>
      <c r="Y8" s="253">
        <f>Y7*1.3</f>
        <v>31.525000000000002</v>
      </c>
      <c r="Z8" s="831" t="s">
        <v>40</v>
      </c>
      <c r="AA8" s="135">
        <f>'Ribassi PE'!$K$44</f>
        <v>0.27</v>
      </c>
      <c r="AB8" s="136">
        <f t="shared" si="0"/>
        <v>23.013000000000002</v>
      </c>
      <c r="AC8" s="135">
        <f>'Ribassi PE'!$M$44</f>
        <v>0.19</v>
      </c>
      <c r="AD8" s="136">
        <f t="shared" si="1"/>
        <v>25.535</v>
      </c>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7"/>
    </row>
    <row r="9" spans="1:55" ht="23.25" thickBot="1" x14ac:dyDescent="0.25">
      <c r="A9" s="575"/>
      <c r="B9" s="968"/>
      <c r="C9" s="762" t="s">
        <v>1309</v>
      </c>
      <c r="D9" s="763" t="s">
        <v>773</v>
      </c>
      <c r="E9" s="859"/>
      <c r="F9" s="461"/>
      <c r="G9" s="461"/>
      <c r="H9" s="461"/>
      <c r="I9" s="461"/>
      <c r="J9" s="461"/>
      <c r="K9" s="461"/>
      <c r="L9" s="461"/>
      <c r="M9" s="461"/>
      <c r="N9" s="461"/>
      <c r="O9" s="461"/>
      <c r="P9" s="461"/>
      <c r="Q9" s="461"/>
      <c r="R9" s="461"/>
      <c r="S9" s="461"/>
      <c r="T9" s="461"/>
      <c r="U9" s="461"/>
      <c r="V9" s="461"/>
      <c r="W9" s="461"/>
      <c r="X9" s="461"/>
      <c r="Y9" s="253">
        <f>Y7*1.65</f>
        <v>40.012499999999996</v>
      </c>
      <c r="Z9" s="831" t="s">
        <v>40</v>
      </c>
      <c r="AA9" s="135">
        <f>'Ribassi PE'!$K$44</f>
        <v>0.27</v>
      </c>
      <c r="AB9" s="136">
        <f t="shared" si="0"/>
        <v>29.209</v>
      </c>
      <c r="AC9" s="135">
        <f>'Ribassi PE'!$M$44</f>
        <v>0.19</v>
      </c>
      <c r="AD9" s="136">
        <f t="shared" si="1"/>
        <v>32.409999999999997</v>
      </c>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7"/>
    </row>
    <row r="10" spans="1:55" ht="23.25" thickBot="1" x14ac:dyDescent="0.25">
      <c r="A10" s="575"/>
      <c r="B10" s="971"/>
      <c r="C10" s="762" t="s">
        <v>1310</v>
      </c>
      <c r="D10" s="763" t="s">
        <v>773</v>
      </c>
      <c r="E10" s="859"/>
      <c r="F10" s="461"/>
      <c r="G10" s="461"/>
      <c r="H10" s="461"/>
      <c r="I10" s="461"/>
      <c r="J10" s="461"/>
      <c r="K10" s="461"/>
      <c r="L10" s="461"/>
      <c r="M10" s="461"/>
      <c r="N10" s="461"/>
      <c r="O10" s="461"/>
      <c r="P10" s="461"/>
      <c r="Q10" s="461"/>
      <c r="R10" s="461"/>
      <c r="S10" s="461"/>
      <c r="T10" s="461"/>
      <c r="U10" s="461"/>
      <c r="V10" s="461"/>
      <c r="W10" s="461"/>
      <c r="X10" s="461"/>
      <c r="Y10" s="253">
        <f>Y7*1.75</f>
        <v>42.4375</v>
      </c>
      <c r="Z10" s="831" t="s">
        <v>40</v>
      </c>
      <c r="AA10" s="135">
        <f>'Ribassi PE'!$K$44</f>
        <v>0.27</v>
      </c>
      <c r="AB10" s="136">
        <f t="shared" si="0"/>
        <v>30.978999999999999</v>
      </c>
      <c r="AC10" s="135">
        <f>'Ribassi PE'!$M$44</f>
        <v>0.19</v>
      </c>
      <c r="AD10" s="136">
        <f t="shared" si="1"/>
        <v>34.374000000000002</v>
      </c>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7"/>
    </row>
    <row r="11" spans="1:55" ht="23.25" thickBot="1" x14ac:dyDescent="0.25">
      <c r="A11" s="575"/>
      <c r="B11" s="967" t="s">
        <v>774</v>
      </c>
      <c r="C11" s="298" t="s">
        <v>1311</v>
      </c>
      <c r="D11" s="299" t="s">
        <v>773</v>
      </c>
      <c r="E11" s="850"/>
      <c r="F11" s="455"/>
      <c r="G11" s="455"/>
      <c r="H11" s="455"/>
      <c r="I11" s="455"/>
      <c r="J11" s="455"/>
      <c r="K11" s="455"/>
      <c r="L11" s="455"/>
      <c r="M11" s="455"/>
      <c r="N11" s="455"/>
      <c r="O11" s="455"/>
      <c r="P11" s="455"/>
      <c r="Q11" s="455"/>
      <c r="R11" s="455"/>
      <c r="S11" s="455"/>
      <c r="T11" s="455"/>
      <c r="U11" s="455"/>
      <c r="V11" s="455"/>
      <c r="W11" s="455"/>
      <c r="X11" s="455"/>
      <c r="Y11" s="134">
        <v>27.37</v>
      </c>
      <c r="Z11" s="611" t="s">
        <v>40</v>
      </c>
      <c r="AA11" s="135">
        <f>'Ribassi PE'!$K$44</f>
        <v>0.27</v>
      </c>
      <c r="AB11" s="136">
        <f t="shared" si="0"/>
        <v>19.98</v>
      </c>
      <c r="AC11" s="135">
        <f>'Ribassi PE'!$M$44</f>
        <v>0.19</v>
      </c>
      <c r="AD11" s="136">
        <f t="shared" si="1"/>
        <v>22.17</v>
      </c>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7"/>
    </row>
    <row r="12" spans="1:55" ht="23.25" thickBot="1" x14ac:dyDescent="0.25">
      <c r="A12" s="575"/>
      <c r="B12" s="968"/>
      <c r="C12" s="764" t="s">
        <v>1312</v>
      </c>
      <c r="D12" s="765" t="s">
        <v>773</v>
      </c>
      <c r="E12" s="858"/>
      <c r="F12" s="460"/>
      <c r="G12" s="460"/>
      <c r="H12" s="460"/>
      <c r="I12" s="460"/>
      <c r="J12" s="460"/>
      <c r="K12" s="460"/>
      <c r="L12" s="460"/>
      <c r="M12" s="460"/>
      <c r="N12" s="460"/>
      <c r="O12" s="460"/>
      <c r="P12" s="460"/>
      <c r="Q12" s="460"/>
      <c r="R12" s="460"/>
      <c r="S12" s="460"/>
      <c r="T12" s="460"/>
      <c r="U12" s="460"/>
      <c r="V12" s="460"/>
      <c r="W12" s="460"/>
      <c r="X12" s="460"/>
      <c r="Y12" s="247">
        <f>Y11*1.3</f>
        <v>35.581000000000003</v>
      </c>
      <c r="Z12" s="832" t="s">
        <v>40</v>
      </c>
      <c r="AA12" s="135">
        <f>'Ribassi PE'!$K$44</f>
        <v>0.27</v>
      </c>
      <c r="AB12" s="136">
        <f t="shared" si="0"/>
        <v>25.974</v>
      </c>
      <c r="AC12" s="135">
        <f>'Ribassi PE'!$M$44</f>
        <v>0.19</v>
      </c>
      <c r="AD12" s="136">
        <f t="shared" si="1"/>
        <v>28.821000000000002</v>
      </c>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7"/>
    </row>
    <row r="13" spans="1:55" ht="34.5" thickBot="1" x14ac:dyDescent="0.25">
      <c r="A13" s="575"/>
      <c r="B13" s="968"/>
      <c r="C13" s="764" t="s">
        <v>1313</v>
      </c>
      <c r="D13" s="765" t="s">
        <v>773</v>
      </c>
      <c r="E13" s="858"/>
      <c r="F13" s="460"/>
      <c r="G13" s="460"/>
      <c r="H13" s="460"/>
      <c r="I13" s="460"/>
      <c r="J13" s="460"/>
      <c r="K13" s="460"/>
      <c r="L13" s="460"/>
      <c r="M13" s="460"/>
      <c r="N13" s="460"/>
      <c r="O13" s="460"/>
      <c r="P13" s="460"/>
      <c r="Q13" s="460"/>
      <c r="R13" s="460"/>
      <c r="S13" s="460"/>
      <c r="T13" s="460"/>
      <c r="U13" s="460"/>
      <c r="V13" s="460"/>
      <c r="W13" s="460"/>
      <c r="X13" s="460"/>
      <c r="Y13" s="247">
        <f>Y11*1.65</f>
        <v>45.160499999999999</v>
      </c>
      <c r="Z13" s="832" t="s">
        <v>40</v>
      </c>
      <c r="AA13" s="135">
        <f>'Ribassi PE'!$K$44</f>
        <v>0.27</v>
      </c>
      <c r="AB13" s="136">
        <f t="shared" si="0"/>
        <v>32.966999999999999</v>
      </c>
      <c r="AC13" s="135">
        <f>'Ribassi PE'!$M$44</f>
        <v>0.19</v>
      </c>
      <c r="AD13" s="136">
        <f t="shared" si="1"/>
        <v>36.58</v>
      </c>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7"/>
    </row>
    <row r="14" spans="1:55" ht="34.5" thickBot="1" x14ac:dyDescent="0.25">
      <c r="A14" s="575"/>
      <c r="B14" s="971"/>
      <c r="C14" s="764" t="s">
        <v>1314</v>
      </c>
      <c r="D14" s="765" t="s">
        <v>773</v>
      </c>
      <c r="E14" s="858"/>
      <c r="F14" s="460"/>
      <c r="G14" s="460"/>
      <c r="H14" s="460"/>
      <c r="I14" s="460"/>
      <c r="J14" s="460"/>
      <c r="K14" s="460"/>
      <c r="L14" s="460"/>
      <c r="M14" s="460"/>
      <c r="N14" s="460"/>
      <c r="O14" s="460"/>
      <c r="P14" s="460"/>
      <c r="Q14" s="460"/>
      <c r="R14" s="460"/>
      <c r="S14" s="460"/>
      <c r="T14" s="460"/>
      <c r="U14" s="460"/>
      <c r="V14" s="460"/>
      <c r="W14" s="460"/>
      <c r="X14" s="460"/>
      <c r="Y14" s="247">
        <f>Y11*1.75</f>
        <v>47.897500000000001</v>
      </c>
      <c r="Z14" s="832" t="s">
        <v>40</v>
      </c>
      <c r="AA14" s="135">
        <f>'Ribassi PE'!$K$44</f>
        <v>0.27</v>
      </c>
      <c r="AB14" s="136">
        <f t="shared" si="0"/>
        <v>34.965000000000003</v>
      </c>
      <c r="AC14" s="135">
        <f>'Ribassi PE'!$M$44</f>
        <v>0.19</v>
      </c>
      <c r="AD14" s="136">
        <f t="shared" si="1"/>
        <v>38.796999999999997</v>
      </c>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7"/>
    </row>
    <row r="15" spans="1:55" ht="23.25" thickBot="1" x14ac:dyDescent="0.25">
      <c r="A15" s="575"/>
      <c r="B15" s="967" t="s">
        <v>775</v>
      </c>
      <c r="C15" s="764" t="s">
        <v>1315</v>
      </c>
      <c r="D15" s="765" t="s">
        <v>773</v>
      </c>
      <c r="E15" s="858">
        <v>346</v>
      </c>
      <c r="F15" s="460"/>
      <c r="G15" s="460"/>
      <c r="H15" s="460"/>
      <c r="I15" s="460"/>
      <c r="J15" s="460"/>
      <c r="K15" s="460"/>
      <c r="L15" s="460"/>
      <c r="M15" s="460"/>
      <c r="N15" s="460"/>
      <c r="O15" s="460"/>
      <c r="P15" s="460"/>
      <c r="Q15" s="460"/>
      <c r="R15" s="460"/>
      <c r="S15" s="460"/>
      <c r="T15" s="460"/>
      <c r="U15" s="460"/>
      <c r="V15" s="460"/>
      <c r="W15" s="460"/>
      <c r="X15" s="460"/>
      <c r="Y15" s="247">
        <v>30.49</v>
      </c>
      <c r="Z15" s="832" t="s">
        <v>40</v>
      </c>
      <c r="AA15" s="135">
        <f>'Ribassi PE'!$K$44</f>
        <v>0.27</v>
      </c>
      <c r="AB15" s="136">
        <f t="shared" si="0"/>
        <v>22.257999999999999</v>
      </c>
      <c r="AC15" s="135">
        <f>'Ribassi PE'!$M$44</f>
        <v>0.19</v>
      </c>
      <c r="AD15" s="136">
        <f t="shared" si="1"/>
        <v>24.696999999999999</v>
      </c>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7"/>
    </row>
    <row r="16" spans="1:55" ht="23.25" thickBot="1" x14ac:dyDescent="0.25">
      <c r="A16" s="575"/>
      <c r="B16" s="968"/>
      <c r="C16" s="764" t="s">
        <v>1316</v>
      </c>
      <c r="D16" s="765" t="s">
        <v>773</v>
      </c>
      <c r="E16" s="858"/>
      <c r="F16" s="460"/>
      <c r="G16" s="460"/>
      <c r="H16" s="460"/>
      <c r="I16" s="460"/>
      <c r="J16" s="460"/>
      <c r="K16" s="460"/>
      <c r="L16" s="460"/>
      <c r="M16" s="460"/>
      <c r="N16" s="460"/>
      <c r="O16" s="460"/>
      <c r="P16" s="460"/>
      <c r="Q16" s="460"/>
      <c r="R16" s="460"/>
      <c r="S16" s="460"/>
      <c r="T16" s="460"/>
      <c r="U16" s="460"/>
      <c r="V16" s="460"/>
      <c r="W16" s="460"/>
      <c r="X16" s="460"/>
      <c r="Y16" s="247">
        <f>Y15*1.3</f>
        <v>39.637</v>
      </c>
      <c r="Z16" s="832" t="s">
        <v>40</v>
      </c>
      <c r="AA16" s="135">
        <f>'Ribassi PE'!$K$44</f>
        <v>0.27</v>
      </c>
      <c r="AB16" s="136">
        <f t="shared" si="0"/>
        <v>28.934999999999999</v>
      </c>
      <c r="AC16" s="135">
        <f>'Ribassi PE'!$M$44</f>
        <v>0.19</v>
      </c>
      <c r="AD16" s="136">
        <f t="shared" si="1"/>
        <v>32.106000000000002</v>
      </c>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7"/>
    </row>
    <row r="17" spans="1:55" ht="34.5" thickBot="1" x14ac:dyDescent="0.25">
      <c r="A17" s="575"/>
      <c r="B17" s="968"/>
      <c r="C17" s="764" t="s">
        <v>1317</v>
      </c>
      <c r="D17" s="765" t="s">
        <v>773</v>
      </c>
      <c r="E17" s="858"/>
      <c r="F17" s="460"/>
      <c r="G17" s="460"/>
      <c r="H17" s="460"/>
      <c r="I17" s="460"/>
      <c r="J17" s="460"/>
      <c r="K17" s="460"/>
      <c r="L17" s="460"/>
      <c r="M17" s="460"/>
      <c r="N17" s="460"/>
      <c r="O17" s="460"/>
      <c r="P17" s="460"/>
      <c r="Q17" s="460"/>
      <c r="R17" s="460"/>
      <c r="S17" s="460"/>
      <c r="T17" s="460"/>
      <c r="U17" s="460"/>
      <c r="V17" s="460"/>
      <c r="W17" s="460"/>
      <c r="X17" s="460"/>
      <c r="Y17" s="247">
        <f>Y15*1.65</f>
        <v>50.308499999999995</v>
      </c>
      <c r="Z17" s="832" t="s">
        <v>40</v>
      </c>
      <c r="AA17" s="135">
        <f>'Ribassi PE'!$K$44</f>
        <v>0.27</v>
      </c>
      <c r="AB17" s="136">
        <f t="shared" si="0"/>
        <v>36.725000000000001</v>
      </c>
      <c r="AC17" s="135">
        <f>'Ribassi PE'!$M$44</f>
        <v>0.19</v>
      </c>
      <c r="AD17" s="136">
        <f t="shared" si="1"/>
        <v>40.75</v>
      </c>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7"/>
    </row>
    <row r="18" spans="1:55" ht="34.5" thickBot="1" x14ac:dyDescent="0.25">
      <c r="A18" s="578"/>
      <c r="B18" s="969"/>
      <c r="C18" s="304" t="s">
        <v>1318</v>
      </c>
      <c r="D18" s="301" t="s">
        <v>773</v>
      </c>
      <c r="E18" s="851"/>
      <c r="F18" s="456"/>
      <c r="G18" s="456"/>
      <c r="H18" s="456"/>
      <c r="I18" s="456"/>
      <c r="J18" s="456"/>
      <c r="K18" s="456"/>
      <c r="L18" s="456"/>
      <c r="M18" s="456"/>
      <c r="N18" s="456"/>
      <c r="O18" s="456"/>
      <c r="P18" s="456"/>
      <c r="Q18" s="456"/>
      <c r="R18" s="456"/>
      <c r="S18" s="456"/>
      <c r="T18" s="456"/>
      <c r="U18" s="456"/>
      <c r="V18" s="456"/>
      <c r="W18" s="456"/>
      <c r="X18" s="456"/>
      <c r="Y18" s="137">
        <f>Y15*1.75</f>
        <v>53.357499999999995</v>
      </c>
      <c r="Z18" s="612" t="s">
        <v>40</v>
      </c>
      <c r="AA18" s="138">
        <f>'Ribassi PE'!$K$44</f>
        <v>0.27</v>
      </c>
      <c r="AB18" s="139">
        <f t="shared" si="0"/>
        <v>38.951000000000001</v>
      </c>
      <c r="AC18" s="138">
        <f>'Ribassi PE'!$M$44</f>
        <v>0.19</v>
      </c>
      <c r="AD18" s="139">
        <f t="shared" si="1"/>
        <v>43.22</v>
      </c>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7"/>
    </row>
    <row r="19" spans="1:55" ht="23.25" thickBot="1" x14ac:dyDescent="0.25">
      <c r="A19" s="575"/>
      <c r="B19" s="970" t="s">
        <v>772</v>
      </c>
      <c r="C19" s="310" t="s">
        <v>1319</v>
      </c>
      <c r="D19" s="303" t="s">
        <v>773</v>
      </c>
      <c r="E19" s="849"/>
      <c r="F19" s="454"/>
      <c r="G19" s="454"/>
      <c r="H19" s="454"/>
      <c r="I19" s="454"/>
      <c r="J19" s="454"/>
      <c r="K19" s="454"/>
      <c r="L19" s="454"/>
      <c r="M19" s="454"/>
      <c r="N19" s="454"/>
      <c r="O19" s="454"/>
      <c r="P19" s="454"/>
      <c r="Q19" s="454"/>
      <c r="R19" s="454"/>
      <c r="S19" s="454"/>
      <c r="T19" s="454"/>
      <c r="U19" s="454"/>
      <c r="V19" s="454"/>
      <c r="W19" s="454"/>
      <c r="X19" s="454"/>
      <c r="Y19" s="130">
        <v>24.25</v>
      </c>
      <c r="Z19" s="610" t="s">
        <v>40</v>
      </c>
      <c r="AA19" s="131">
        <f>'Ribassi PE'!$K$44</f>
        <v>0.27</v>
      </c>
      <c r="AB19" s="132">
        <f t="shared" si="0"/>
        <v>17.702999999999999</v>
      </c>
      <c r="AC19" s="133">
        <f>'Ribassi PE'!$M$44</f>
        <v>0.19</v>
      </c>
      <c r="AD19" s="132">
        <f t="shared" si="1"/>
        <v>19.643000000000001</v>
      </c>
      <c r="AE19" s="576"/>
      <c r="AF19" s="576"/>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7"/>
    </row>
    <row r="20" spans="1:55" ht="23.25" thickBot="1" x14ac:dyDescent="0.25">
      <c r="A20" s="575"/>
      <c r="B20" s="968"/>
      <c r="C20" s="762" t="s">
        <v>1320</v>
      </c>
      <c r="D20" s="763" t="s">
        <v>773</v>
      </c>
      <c r="E20" s="859"/>
      <c r="F20" s="461"/>
      <c r="G20" s="461"/>
      <c r="H20" s="461"/>
      <c r="I20" s="461"/>
      <c r="J20" s="461"/>
      <c r="K20" s="461"/>
      <c r="L20" s="461"/>
      <c r="M20" s="461"/>
      <c r="N20" s="461"/>
      <c r="O20" s="461"/>
      <c r="P20" s="461"/>
      <c r="Q20" s="461"/>
      <c r="R20" s="461"/>
      <c r="S20" s="461"/>
      <c r="T20" s="461"/>
      <c r="U20" s="461"/>
      <c r="V20" s="461"/>
      <c r="W20" s="461"/>
      <c r="X20" s="461"/>
      <c r="Y20" s="253">
        <f>Y19*1.3</f>
        <v>31.525000000000002</v>
      </c>
      <c r="Z20" s="831" t="s">
        <v>40</v>
      </c>
      <c r="AA20" s="135">
        <f>'Ribassi PE'!$K$44</f>
        <v>0.27</v>
      </c>
      <c r="AB20" s="136">
        <f t="shared" si="0"/>
        <v>23.013000000000002</v>
      </c>
      <c r="AC20" s="135">
        <f>'Ribassi PE'!$M$44</f>
        <v>0.19</v>
      </c>
      <c r="AD20" s="136">
        <f t="shared" si="1"/>
        <v>25.535</v>
      </c>
      <c r="AE20" s="576"/>
      <c r="AF20" s="576"/>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7"/>
    </row>
    <row r="21" spans="1:55" ht="34.5" thickBot="1" x14ac:dyDescent="0.25">
      <c r="A21" s="575"/>
      <c r="B21" s="968"/>
      <c r="C21" s="762" t="s">
        <v>1321</v>
      </c>
      <c r="D21" s="763" t="s">
        <v>773</v>
      </c>
      <c r="E21" s="859"/>
      <c r="F21" s="461"/>
      <c r="G21" s="461"/>
      <c r="H21" s="461"/>
      <c r="I21" s="461"/>
      <c r="J21" s="461"/>
      <c r="K21" s="461"/>
      <c r="L21" s="461"/>
      <c r="M21" s="461"/>
      <c r="N21" s="461"/>
      <c r="O21" s="461"/>
      <c r="P21" s="461"/>
      <c r="Q21" s="461"/>
      <c r="R21" s="461"/>
      <c r="S21" s="461"/>
      <c r="T21" s="461"/>
      <c r="U21" s="461"/>
      <c r="V21" s="461"/>
      <c r="W21" s="461"/>
      <c r="X21" s="461"/>
      <c r="Y21" s="253">
        <f>Y19*1.65</f>
        <v>40.012499999999996</v>
      </c>
      <c r="Z21" s="831" t="s">
        <v>40</v>
      </c>
      <c r="AA21" s="135">
        <f>'Ribassi PE'!$K$44</f>
        <v>0.27</v>
      </c>
      <c r="AB21" s="136">
        <f t="shared" si="0"/>
        <v>29.209</v>
      </c>
      <c r="AC21" s="135">
        <f>'Ribassi PE'!$M$44</f>
        <v>0.19</v>
      </c>
      <c r="AD21" s="136">
        <f t="shared" si="1"/>
        <v>32.409999999999997</v>
      </c>
      <c r="AE21" s="576"/>
      <c r="AF21" s="576"/>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7"/>
    </row>
    <row r="22" spans="1:55" ht="34.5" thickBot="1" x14ac:dyDescent="0.25">
      <c r="A22" s="575"/>
      <c r="B22" s="971"/>
      <c r="C22" s="762" t="s">
        <v>1322</v>
      </c>
      <c r="D22" s="763" t="s">
        <v>773</v>
      </c>
      <c r="E22" s="859"/>
      <c r="F22" s="461"/>
      <c r="G22" s="461"/>
      <c r="H22" s="461"/>
      <c r="I22" s="461"/>
      <c r="J22" s="461"/>
      <c r="K22" s="461"/>
      <c r="L22" s="461"/>
      <c r="M22" s="461"/>
      <c r="N22" s="461"/>
      <c r="O22" s="461"/>
      <c r="P22" s="461"/>
      <c r="Q22" s="461"/>
      <c r="R22" s="461"/>
      <c r="S22" s="461"/>
      <c r="T22" s="461"/>
      <c r="U22" s="461"/>
      <c r="V22" s="461"/>
      <c r="W22" s="461"/>
      <c r="X22" s="461"/>
      <c r="Y22" s="253">
        <f>Y19*1.75</f>
        <v>42.4375</v>
      </c>
      <c r="Z22" s="831" t="s">
        <v>40</v>
      </c>
      <c r="AA22" s="135">
        <f>'Ribassi PE'!$K$44</f>
        <v>0.27</v>
      </c>
      <c r="AB22" s="136">
        <f t="shared" si="0"/>
        <v>30.978999999999999</v>
      </c>
      <c r="AC22" s="135">
        <f>'Ribassi PE'!$M$44</f>
        <v>0.19</v>
      </c>
      <c r="AD22" s="136">
        <f t="shared" si="1"/>
        <v>34.374000000000002</v>
      </c>
      <c r="AE22" s="576"/>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7"/>
    </row>
    <row r="23" spans="1:55" ht="23.25" thickBot="1" x14ac:dyDescent="0.25">
      <c r="A23" s="575"/>
      <c r="B23" s="967" t="s">
        <v>774</v>
      </c>
      <c r="C23" s="298" t="s">
        <v>1323</v>
      </c>
      <c r="D23" s="299" t="s">
        <v>773</v>
      </c>
      <c r="E23" s="850">
        <v>35</v>
      </c>
      <c r="F23" s="455"/>
      <c r="G23" s="455"/>
      <c r="H23" s="455"/>
      <c r="I23" s="455"/>
      <c r="J23" s="455"/>
      <c r="K23" s="455"/>
      <c r="L23" s="455"/>
      <c r="M23" s="455"/>
      <c r="N23" s="455"/>
      <c r="O23" s="455"/>
      <c r="P23" s="455"/>
      <c r="Q23" s="455"/>
      <c r="R23" s="455"/>
      <c r="S23" s="455"/>
      <c r="T23" s="455"/>
      <c r="U23" s="455"/>
      <c r="V23" s="455"/>
      <c r="W23" s="455"/>
      <c r="X23" s="455"/>
      <c r="Y23" s="134">
        <v>27.37</v>
      </c>
      <c r="Z23" s="611" t="s">
        <v>40</v>
      </c>
      <c r="AA23" s="135">
        <f>'Ribassi PE'!$K$44</f>
        <v>0.27</v>
      </c>
      <c r="AB23" s="136">
        <f t="shared" si="0"/>
        <v>19.98</v>
      </c>
      <c r="AC23" s="135">
        <f>'Ribassi PE'!$M$44</f>
        <v>0.19</v>
      </c>
      <c r="AD23" s="136">
        <f t="shared" si="1"/>
        <v>22.17</v>
      </c>
      <c r="AE23" s="576"/>
      <c r="AF23" s="576"/>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7"/>
    </row>
    <row r="24" spans="1:55" ht="23.25" thickBot="1" x14ac:dyDescent="0.25">
      <c r="A24" s="575"/>
      <c r="B24" s="968"/>
      <c r="C24" s="764" t="s">
        <v>1324</v>
      </c>
      <c r="D24" s="765" t="s">
        <v>773</v>
      </c>
      <c r="E24" s="858"/>
      <c r="F24" s="460"/>
      <c r="G24" s="460"/>
      <c r="H24" s="460"/>
      <c r="I24" s="460"/>
      <c r="J24" s="460"/>
      <c r="K24" s="460"/>
      <c r="L24" s="460"/>
      <c r="M24" s="460"/>
      <c r="N24" s="460"/>
      <c r="O24" s="460"/>
      <c r="P24" s="460"/>
      <c r="Q24" s="460"/>
      <c r="R24" s="460"/>
      <c r="S24" s="460"/>
      <c r="T24" s="460"/>
      <c r="U24" s="460"/>
      <c r="V24" s="460"/>
      <c r="W24" s="460"/>
      <c r="X24" s="460"/>
      <c r="Y24" s="247">
        <f>Y23*1.3</f>
        <v>35.581000000000003</v>
      </c>
      <c r="Z24" s="832" t="s">
        <v>40</v>
      </c>
      <c r="AA24" s="135">
        <f>'Ribassi PE'!$K$44</f>
        <v>0.27</v>
      </c>
      <c r="AB24" s="136">
        <f t="shared" si="0"/>
        <v>25.974</v>
      </c>
      <c r="AC24" s="135">
        <f>'Ribassi PE'!$M$44</f>
        <v>0.19</v>
      </c>
      <c r="AD24" s="136">
        <f t="shared" si="1"/>
        <v>28.821000000000002</v>
      </c>
      <c r="AE24" s="576"/>
      <c r="AF24" s="576"/>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7"/>
    </row>
    <row r="25" spans="1:55" ht="34.5" thickBot="1" x14ac:dyDescent="0.25">
      <c r="A25" s="575"/>
      <c r="B25" s="968"/>
      <c r="C25" s="764" t="s">
        <v>1325</v>
      </c>
      <c r="D25" s="765" t="s">
        <v>773</v>
      </c>
      <c r="E25" s="858"/>
      <c r="F25" s="460"/>
      <c r="G25" s="460"/>
      <c r="H25" s="460"/>
      <c r="I25" s="460"/>
      <c r="J25" s="460"/>
      <c r="K25" s="460"/>
      <c r="L25" s="460"/>
      <c r="M25" s="460"/>
      <c r="N25" s="460"/>
      <c r="O25" s="460"/>
      <c r="P25" s="460"/>
      <c r="Q25" s="460"/>
      <c r="R25" s="460"/>
      <c r="S25" s="460"/>
      <c r="T25" s="460"/>
      <c r="U25" s="460"/>
      <c r="V25" s="460"/>
      <c r="W25" s="460"/>
      <c r="X25" s="460"/>
      <c r="Y25" s="247">
        <f>Y23*1.65</f>
        <v>45.160499999999999</v>
      </c>
      <c r="Z25" s="832" t="s">
        <v>40</v>
      </c>
      <c r="AA25" s="135">
        <f>'Ribassi PE'!$K$44</f>
        <v>0.27</v>
      </c>
      <c r="AB25" s="136">
        <f t="shared" si="0"/>
        <v>32.966999999999999</v>
      </c>
      <c r="AC25" s="135">
        <f>'Ribassi PE'!$M$44</f>
        <v>0.19</v>
      </c>
      <c r="AD25" s="136">
        <f t="shared" si="1"/>
        <v>36.58</v>
      </c>
      <c r="AE25" s="576"/>
      <c r="AF25" s="576"/>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7"/>
    </row>
    <row r="26" spans="1:55" ht="34.5" thickBot="1" x14ac:dyDescent="0.25">
      <c r="A26" s="575"/>
      <c r="B26" s="971"/>
      <c r="C26" s="764" t="s">
        <v>1326</v>
      </c>
      <c r="D26" s="765" t="s">
        <v>773</v>
      </c>
      <c r="E26" s="858"/>
      <c r="F26" s="460"/>
      <c r="G26" s="460"/>
      <c r="H26" s="460"/>
      <c r="I26" s="460"/>
      <c r="J26" s="460"/>
      <c r="K26" s="460"/>
      <c r="L26" s="460"/>
      <c r="M26" s="460"/>
      <c r="N26" s="460"/>
      <c r="O26" s="460"/>
      <c r="P26" s="460"/>
      <c r="Q26" s="460"/>
      <c r="R26" s="460"/>
      <c r="S26" s="460"/>
      <c r="T26" s="460"/>
      <c r="U26" s="460"/>
      <c r="V26" s="460"/>
      <c r="W26" s="460"/>
      <c r="X26" s="460"/>
      <c r="Y26" s="247">
        <f>Y23*1.75</f>
        <v>47.897500000000001</v>
      </c>
      <c r="Z26" s="832" t="s">
        <v>40</v>
      </c>
      <c r="AA26" s="135">
        <f>'Ribassi PE'!$K$44</f>
        <v>0.27</v>
      </c>
      <c r="AB26" s="136">
        <f t="shared" si="0"/>
        <v>34.965000000000003</v>
      </c>
      <c r="AC26" s="135">
        <f>'Ribassi PE'!$M$44</f>
        <v>0.19</v>
      </c>
      <c r="AD26" s="136">
        <f t="shared" si="1"/>
        <v>38.796999999999997</v>
      </c>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7"/>
    </row>
    <row r="27" spans="1:55" ht="23.25" thickBot="1" x14ac:dyDescent="0.25">
      <c r="A27" s="575"/>
      <c r="B27" s="967" t="s">
        <v>775</v>
      </c>
      <c r="C27" s="764" t="s">
        <v>1327</v>
      </c>
      <c r="D27" s="765" t="s">
        <v>773</v>
      </c>
      <c r="E27" s="858">
        <v>346</v>
      </c>
      <c r="F27" s="460"/>
      <c r="G27" s="460"/>
      <c r="H27" s="460"/>
      <c r="I27" s="460"/>
      <c r="J27" s="460"/>
      <c r="K27" s="460"/>
      <c r="L27" s="460"/>
      <c r="M27" s="460"/>
      <c r="N27" s="460"/>
      <c r="O27" s="460"/>
      <c r="P27" s="460"/>
      <c r="Q27" s="460"/>
      <c r="R27" s="460"/>
      <c r="S27" s="460"/>
      <c r="T27" s="460"/>
      <c r="U27" s="460"/>
      <c r="V27" s="460"/>
      <c r="W27" s="460"/>
      <c r="X27" s="460"/>
      <c r="Y27" s="247">
        <v>30.49</v>
      </c>
      <c r="Z27" s="832" t="s">
        <v>40</v>
      </c>
      <c r="AA27" s="135">
        <f>'Ribassi PE'!$K$44</f>
        <v>0.27</v>
      </c>
      <c r="AB27" s="136">
        <f t="shared" si="0"/>
        <v>22.257999999999999</v>
      </c>
      <c r="AC27" s="135">
        <f>'Ribassi PE'!$M$44</f>
        <v>0.19</v>
      </c>
      <c r="AD27" s="136">
        <f t="shared" si="1"/>
        <v>24.696999999999999</v>
      </c>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7"/>
    </row>
    <row r="28" spans="1:55" ht="23.25" thickBot="1" x14ac:dyDescent="0.25">
      <c r="A28" s="575"/>
      <c r="B28" s="968"/>
      <c r="C28" s="764" t="s">
        <v>1328</v>
      </c>
      <c r="D28" s="765" t="s">
        <v>773</v>
      </c>
      <c r="E28" s="858"/>
      <c r="F28" s="460"/>
      <c r="G28" s="460"/>
      <c r="H28" s="460"/>
      <c r="I28" s="460"/>
      <c r="J28" s="460"/>
      <c r="K28" s="460"/>
      <c r="L28" s="460"/>
      <c r="M28" s="460"/>
      <c r="N28" s="460"/>
      <c r="O28" s="460"/>
      <c r="P28" s="460"/>
      <c r="Q28" s="460"/>
      <c r="R28" s="460"/>
      <c r="S28" s="460"/>
      <c r="T28" s="460"/>
      <c r="U28" s="460"/>
      <c r="V28" s="460"/>
      <c r="W28" s="460"/>
      <c r="X28" s="460"/>
      <c r="Y28" s="247">
        <f>Y27*1.3</f>
        <v>39.637</v>
      </c>
      <c r="Z28" s="832" t="s">
        <v>40</v>
      </c>
      <c r="AA28" s="135">
        <f>'Ribassi PE'!$K$44</f>
        <v>0.27</v>
      </c>
      <c r="AB28" s="136">
        <f t="shared" si="0"/>
        <v>28.934999999999999</v>
      </c>
      <c r="AC28" s="135">
        <f>'Ribassi PE'!$M$44</f>
        <v>0.19</v>
      </c>
      <c r="AD28" s="136">
        <f t="shared" si="1"/>
        <v>32.106000000000002</v>
      </c>
      <c r="AE28" s="576"/>
      <c r="AF28" s="576"/>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7"/>
    </row>
    <row r="29" spans="1:55" ht="34.5" thickBot="1" x14ac:dyDescent="0.25">
      <c r="A29" s="575"/>
      <c r="B29" s="968"/>
      <c r="C29" s="764" t="s">
        <v>1329</v>
      </c>
      <c r="D29" s="765" t="s">
        <v>773</v>
      </c>
      <c r="E29" s="858"/>
      <c r="F29" s="460"/>
      <c r="G29" s="460"/>
      <c r="H29" s="460"/>
      <c r="I29" s="460"/>
      <c r="J29" s="460"/>
      <c r="K29" s="460"/>
      <c r="L29" s="460"/>
      <c r="M29" s="460"/>
      <c r="N29" s="460"/>
      <c r="O29" s="460"/>
      <c r="P29" s="460"/>
      <c r="Q29" s="460"/>
      <c r="R29" s="460"/>
      <c r="S29" s="460"/>
      <c r="T29" s="460"/>
      <c r="U29" s="460"/>
      <c r="V29" s="460"/>
      <c r="W29" s="460"/>
      <c r="X29" s="460"/>
      <c r="Y29" s="247">
        <f>Y27*1.65</f>
        <v>50.308499999999995</v>
      </c>
      <c r="Z29" s="832" t="s">
        <v>40</v>
      </c>
      <c r="AA29" s="135">
        <f>'Ribassi PE'!$K$44</f>
        <v>0.27</v>
      </c>
      <c r="AB29" s="136">
        <f t="shared" si="0"/>
        <v>36.725000000000001</v>
      </c>
      <c r="AC29" s="135">
        <f>'Ribassi PE'!$M$44</f>
        <v>0.19</v>
      </c>
      <c r="AD29" s="136">
        <f t="shared" si="1"/>
        <v>40.75</v>
      </c>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7"/>
    </row>
    <row r="30" spans="1:55" ht="34.5" thickBot="1" x14ac:dyDescent="0.25">
      <c r="A30" s="578"/>
      <c r="B30" s="969"/>
      <c r="C30" s="304" t="s">
        <v>1330</v>
      </c>
      <c r="D30" s="301" t="s">
        <v>773</v>
      </c>
      <c r="E30" s="851"/>
      <c r="F30" s="456"/>
      <c r="G30" s="456"/>
      <c r="H30" s="456"/>
      <c r="I30" s="456"/>
      <c r="J30" s="456"/>
      <c r="K30" s="456"/>
      <c r="L30" s="456"/>
      <c r="M30" s="456"/>
      <c r="N30" s="456"/>
      <c r="O30" s="456"/>
      <c r="P30" s="456"/>
      <c r="Q30" s="456"/>
      <c r="R30" s="456"/>
      <c r="S30" s="456"/>
      <c r="T30" s="456"/>
      <c r="U30" s="456"/>
      <c r="V30" s="456"/>
      <c r="W30" s="456"/>
      <c r="X30" s="456"/>
      <c r="Y30" s="137">
        <f>Y27*1.75</f>
        <v>53.357499999999995</v>
      </c>
      <c r="Z30" s="612" t="s">
        <v>40</v>
      </c>
      <c r="AA30" s="138">
        <f>'Ribassi PE'!$K$44</f>
        <v>0.27</v>
      </c>
      <c r="AB30" s="139">
        <f t="shared" si="0"/>
        <v>38.951000000000001</v>
      </c>
      <c r="AC30" s="138">
        <f>'Ribassi PE'!$M$44</f>
        <v>0.19</v>
      </c>
      <c r="AD30" s="139">
        <f t="shared" si="1"/>
        <v>43.22</v>
      </c>
      <c r="AE30" s="576"/>
      <c r="AF30" s="576"/>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7"/>
    </row>
    <row r="31" spans="1:55" ht="23.25" thickBot="1" x14ac:dyDescent="0.25">
      <c r="A31" s="575"/>
      <c r="B31" s="970" t="s">
        <v>772</v>
      </c>
      <c r="C31" s="310" t="s">
        <v>1331</v>
      </c>
      <c r="D31" s="303" t="s">
        <v>773</v>
      </c>
      <c r="E31" s="849"/>
      <c r="F31" s="454"/>
      <c r="G31" s="454"/>
      <c r="H31" s="454"/>
      <c r="I31" s="454"/>
      <c r="J31" s="454"/>
      <c r="K31" s="454"/>
      <c r="L31" s="454"/>
      <c r="M31" s="454"/>
      <c r="N31" s="454"/>
      <c r="O31" s="454"/>
      <c r="P31" s="454"/>
      <c r="Q31" s="454"/>
      <c r="R31" s="454"/>
      <c r="S31" s="454"/>
      <c r="T31" s="454"/>
      <c r="U31" s="454"/>
      <c r="V31" s="454"/>
      <c r="W31" s="454"/>
      <c r="X31" s="454"/>
      <c r="Y31" s="130">
        <v>24.25</v>
      </c>
      <c r="Z31" s="610" t="s">
        <v>40</v>
      </c>
      <c r="AA31" s="131">
        <f>'Ribassi PE'!$K$44</f>
        <v>0.27</v>
      </c>
      <c r="AB31" s="132">
        <f t="shared" si="0"/>
        <v>17.702999999999999</v>
      </c>
      <c r="AC31" s="133">
        <f>'Ribassi PE'!$M$44</f>
        <v>0.19</v>
      </c>
      <c r="AD31" s="132">
        <f t="shared" si="1"/>
        <v>19.643000000000001</v>
      </c>
      <c r="AE31" s="576"/>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7"/>
    </row>
    <row r="32" spans="1:55" ht="23.25" thickBot="1" x14ac:dyDescent="0.25">
      <c r="A32" s="575"/>
      <c r="B32" s="968"/>
      <c r="C32" s="762" t="s">
        <v>1332</v>
      </c>
      <c r="D32" s="763" t="s">
        <v>773</v>
      </c>
      <c r="E32" s="859"/>
      <c r="F32" s="461"/>
      <c r="G32" s="461"/>
      <c r="H32" s="461"/>
      <c r="I32" s="461"/>
      <c r="J32" s="461"/>
      <c r="K32" s="461"/>
      <c r="L32" s="461"/>
      <c r="M32" s="461"/>
      <c r="N32" s="461"/>
      <c r="O32" s="461"/>
      <c r="P32" s="461"/>
      <c r="Q32" s="461"/>
      <c r="R32" s="461"/>
      <c r="S32" s="461"/>
      <c r="T32" s="461"/>
      <c r="U32" s="461"/>
      <c r="V32" s="461"/>
      <c r="W32" s="461"/>
      <c r="X32" s="461"/>
      <c r="Y32" s="253">
        <f>Y31*1.3</f>
        <v>31.525000000000002</v>
      </c>
      <c r="Z32" s="831" t="s">
        <v>40</v>
      </c>
      <c r="AA32" s="135">
        <f>'Ribassi PE'!$K$44</f>
        <v>0.27</v>
      </c>
      <c r="AB32" s="136">
        <f t="shared" si="0"/>
        <v>23.013000000000002</v>
      </c>
      <c r="AC32" s="135">
        <f>'Ribassi PE'!$M$44</f>
        <v>0.19</v>
      </c>
      <c r="AD32" s="136">
        <f t="shared" si="1"/>
        <v>25.535</v>
      </c>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7"/>
    </row>
    <row r="33" spans="1:55" ht="34.5" thickBot="1" x14ac:dyDescent="0.25">
      <c r="A33" s="575"/>
      <c r="B33" s="968"/>
      <c r="C33" s="762" t="s">
        <v>1333</v>
      </c>
      <c r="D33" s="763" t="s">
        <v>773</v>
      </c>
      <c r="E33" s="859"/>
      <c r="F33" s="461"/>
      <c r="G33" s="461"/>
      <c r="H33" s="461"/>
      <c r="I33" s="461"/>
      <c r="J33" s="461"/>
      <c r="K33" s="461"/>
      <c r="L33" s="461"/>
      <c r="M33" s="461"/>
      <c r="N33" s="461"/>
      <c r="O33" s="461"/>
      <c r="P33" s="461"/>
      <c r="Q33" s="461"/>
      <c r="R33" s="461"/>
      <c r="S33" s="461"/>
      <c r="T33" s="461"/>
      <c r="U33" s="461"/>
      <c r="V33" s="461"/>
      <c r="W33" s="461"/>
      <c r="X33" s="461"/>
      <c r="Y33" s="253">
        <f>Y31*1.65</f>
        <v>40.012499999999996</v>
      </c>
      <c r="Z33" s="831" t="s">
        <v>40</v>
      </c>
      <c r="AA33" s="135">
        <f>'Ribassi PE'!$K$44</f>
        <v>0.27</v>
      </c>
      <c r="AB33" s="136">
        <f t="shared" si="0"/>
        <v>29.209</v>
      </c>
      <c r="AC33" s="135">
        <f>'Ribassi PE'!$M$44</f>
        <v>0.19</v>
      </c>
      <c r="AD33" s="136">
        <f t="shared" si="1"/>
        <v>32.409999999999997</v>
      </c>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7"/>
    </row>
    <row r="34" spans="1:55" ht="34.5" thickBot="1" x14ac:dyDescent="0.25">
      <c r="A34" s="575"/>
      <c r="B34" s="971"/>
      <c r="C34" s="762" t="s">
        <v>1334</v>
      </c>
      <c r="D34" s="763" t="s">
        <v>773</v>
      </c>
      <c r="E34" s="859"/>
      <c r="F34" s="461"/>
      <c r="G34" s="461"/>
      <c r="H34" s="461"/>
      <c r="I34" s="461"/>
      <c r="J34" s="461"/>
      <c r="K34" s="461"/>
      <c r="L34" s="461"/>
      <c r="M34" s="461"/>
      <c r="N34" s="461"/>
      <c r="O34" s="461"/>
      <c r="P34" s="461"/>
      <c r="Q34" s="461"/>
      <c r="R34" s="461"/>
      <c r="S34" s="461"/>
      <c r="T34" s="461"/>
      <c r="U34" s="461"/>
      <c r="V34" s="461"/>
      <c r="W34" s="461"/>
      <c r="X34" s="461"/>
      <c r="Y34" s="253">
        <f>Y31*1.75</f>
        <v>42.4375</v>
      </c>
      <c r="Z34" s="831" t="s">
        <v>40</v>
      </c>
      <c r="AA34" s="135">
        <f>'Ribassi PE'!$K$44</f>
        <v>0.27</v>
      </c>
      <c r="AB34" s="136">
        <f t="shared" si="0"/>
        <v>30.978999999999999</v>
      </c>
      <c r="AC34" s="135">
        <f>'Ribassi PE'!$M$44</f>
        <v>0.19</v>
      </c>
      <c r="AD34" s="136">
        <f t="shared" si="1"/>
        <v>34.374000000000002</v>
      </c>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7"/>
    </row>
    <row r="35" spans="1:55" ht="23.25" thickBot="1" x14ac:dyDescent="0.25">
      <c r="A35" s="575"/>
      <c r="B35" s="967" t="s">
        <v>774</v>
      </c>
      <c r="C35" s="298" t="s">
        <v>1335</v>
      </c>
      <c r="D35" s="299" t="s">
        <v>773</v>
      </c>
      <c r="E35" s="850"/>
      <c r="F35" s="455"/>
      <c r="G35" s="455"/>
      <c r="H35" s="455"/>
      <c r="I35" s="455"/>
      <c r="J35" s="455"/>
      <c r="K35" s="455"/>
      <c r="L35" s="455"/>
      <c r="M35" s="455"/>
      <c r="N35" s="455"/>
      <c r="O35" s="455"/>
      <c r="P35" s="455"/>
      <c r="Q35" s="455"/>
      <c r="R35" s="455"/>
      <c r="S35" s="455"/>
      <c r="T35" s="455"/>
      <c r="U35" s="455"/>
      <c r="V35" s="455"/>
      <c r="W35" s="455"/>
      <c r="X35" s="455"/>
      <c r="Y35" s="134">
        <v>27.37</v>
      </c>
      <c r="Z35" s="611" t="s">
        <v>40</v>
      </c>
      <c r="AA35" s="135">
        <f>'Ribassi PE'!$K$44</f>
        <v>0.27</v>
      </c>
      <c r="AB35" s="136">
        <f t="shared" si="0"/>
        <v>19.98</v>
      </c>
      <c r="AC35" s="135">
        <f>'Ribassi PE'!$M$44</f>
        <v>0.19</v>
      </c>
      <c r="AD35" s="136">
        <f t="shared" si="1"/>
        <v>22.17</v>
      </c>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7"/>
    </row>
    <row r="36" spans="1:55" ht="23.25" thickBot="1" x14ac:dyDescent="0.25">
      <c r="A36" s="575"/>
      <c r="B36" s="968"/>
      <c r="C36" s="764" t="s">
        <v>1336</v>
      </c>
      <c r="D36" s="765" t="s">
        <v>773</v>
      </c>
      <c r="E36" s="858"/>
      <c r="F36" s="460"/>
      <c r="G36" s="460"/>
      <c r="H36" s="460"/>
      <c r="I36" s="460"/>
      <c r="J36" s="460"/>
      <c r="K36" s="460"/>
      <c r="L36" s="460"/>
      <c r="M36" s="460"/>
      <c r="N36" s="460"/>
      <c r="O36" s="460"/>
      <c r="P36" s="460"/>
      <c r="Q36" s="460"/>
      <c r="R36" s="460"/>
      <c r="S36" s="460"/>
      <c r="T36" s="460"/>
      <c r="U36" s="460"/>
      <c r="V36" s="460"/>
      <c r="W36" s="460"/>
      <c r="X36" s="460"/>
      <c r="Y36" s="247">
        <f>Y35*1.3</f>
        <v>35.581000000000003</v>
      </c>
      <c r="Z36" s="832" t="s">
        <v>40</v>
      </c>
      <c r="AA36" s="135">
        <f>'Ribassi PE'!$K$44</f>
        <v>0.27</v>
      </c>
      <c r="AB36" s="136">
        <f t="shared" si="0"/>
        <v>25.974</v>
      </c>
      <c r="AC36" s="135">
        <f>'Ribassi PE'!$M$44</f>
        <v>0.19</v>
      </c>
      <c r="AD36" s="136">
        <f t="shared" si="1"/>
        <v>28.821000000000002</v>
      </c>
      <c r="AE36" s="576"/>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7"/>
    </row>
    <row r="37" spans="1:55" ht="34.5" thickBot="1" x14ac:dyDescent="0.25">
      <c r="A37" s="575"/>
      <c r="B37" s="968"/>
      <c r="C37" s="764" t="s">
        <v>1337</v>
      </c>
      <c r="D37" s="765" t="s">
        <v>773</v>
      </c>
      <c r="E37" s="858"/>
      <c r="F37" s="460"/>
      <c r="G37" s="460"/>
      <c r="H37" s="460"/>
      <c r="I37" s="460"/>
      <c r="J37" s="460"/>
      <c r="K37" s="460"/>
      <c r="L37" s="460"/>
      <c r="M37" s="460"/>
      <c r="N37" s="460"/>
      <c r="O37" s="460"/>
      <c r="P37" s="460"/>
      <c r="Q37" s="460"/>
      <c r="R37" s="460"/>
      <c r="S37" s="460"/>
      <c r="T37" s="460"/>
      <c r="U37" s="460"/>
      <c r="V37" s="460"/>
      <c r="W37" s="460"/>
      <c r="X37" s="460"/>
      <c r="Y37" s="247">
        <f>Y35*1.65</f>
        <v>45.160499999999999</v>
      </c>
      <c r="Z37" s="832" t="s">
        <v>40</v>
      </c>
      <c r="AA37" s="135">
        <f>'Ribassi PE'!$K$44</f>
        <v>0.27</v>
      </c>
      <c r="AB37" s="136">
        <f t="shared" si="0"/>
        <v>32.966999999999999</v>
      </c>
      <c r="AC37" s="135">
        <f>'Ribassi PE'!$M$44</f>
        <v>0.19</v>
      </c>
      <c r="AD37" s="136">
        <f t="shared" si="1"/>
        <v>36.58</v>
      </c>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7"/>
    </row>
    <row r="38" spans="1:55" ht="34.5" thickBot="1" x14ac:dyDescent="0.25">
      <c r="A38" s="575"/>
      <c r="B38" s="971"/>
      <c r="C38" s="764" t="s">
        <v>1338</v>
      </c>
      <c r="D38" s="765" t="s">
        <v>773</v>
      </c>
      <c r="E38" s="858"/>
      <c r="F38" s="460"/>
      <c r="G38" s="460"/>
      <c r="H38" s="460"/>
      <c r="I38" s="460"/>
      <c r="J38" s="460"/>
      <c r="K38" s="460"/>
      <c r="L38" s="460"/>
      <c r="M38" s="460"/>
      <c r="N38" s="460"/>
      <c r="O38" s="460"/>
      <c r="P38" s="460"/>
      <c r="Q38" s="460"/>
      <c r="R38" s="460"/>
      <c r="S38" s="460"/>
      <c r="T38" s="460"/>
      <c r="U38" s="460"/>
      <c r="V38" s="460"/>
      <c r="W38" s="460"/>
      <c r="X38" s="460"/>
      <c r="Y38" s="247">
        <f>Y35*1.75</f>
        <v>47.897500000000001</v>
      </c>
      <c r="Z38" s="832" t="s">
        <v>40</v>
      </c>
      <c r="AA38" s="135">
        <f>'Ribassi PE'!$K$44</f>
        <v>0.27</v>
      </c>
      <c r="AB38" s="136">
        <f t="shared" si="0"/>
        <v>34.965000000000003</v>
      </c>
      <c r="AC38" s="135">
        <f>'Ribassi PE'!$M$44</f>
        <v>0.19</v>
      </c>
      <c r="AD38" s="136">
        <f t="shared" si="1"/>
        <v>38.796999999999997</v>
      </c>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7"/>
    </row>
    <row r="39" spans="1:55" ht="23.25" thickBot="1" x14ac:dyDescent="0.25">
      <c r="A39" s="575"/>
      <c r="B39" s="967" t="s">
        <v>775</v>
      </c>
      <c r="C39" s="764" t="s">
        <v>1339</v>
      </c>
      <c r="D39" s="765" t="s">
        <v>773</v>
      </c>
      <c r="E39" s="858"/>
      <c r="F39" s="460"/>
      <c r="G39" s="460"/>
      <c r="H39" s="460"/>
      <c r="I39" s="460"/>
      <c r="J39" s="460"/>
      <c r="K39" s="460"/>
      <c r="L39" s="460"/>
      <c r="M39" s="460"/>
      <c r="N39" s="460"/>
      <c r="O39" s="460"/>
      <c r="P39" s="460"/>
      <c r="Q39" s="460"/>
      <c r="R39" s="460"/>
      <c r="S39" s="460"/>
      <c r="T39" s="460"/>
      <c r="U39" s="460"/>
      <c r="V39" s="460"/>
      <c r="W39" s="460"/>
      <c r="X39" s="460"/>
      <c r="Y39" s="247">
        <v>30.49</v>
      </c>
      <c r="Z39" s="832" t="s">
        <v>40</v>
      </c>
      <c r="AA39" s="135">
        <f>'Ribassi PE'!$K$44</f>
        <v>0.27</v>
      </c>
      <c r="AB39" s="136">
        <f t="shared" si="0"/>
        <v>22.257999999999999</v>
      </c>
      <c r="AC39" s="135">
        <f>'Ribassi PE'!$M$44</f>
        <v>0.19</v>
      </c>
      <c r="AD39" s="136">
        <f t="shared" si="1"/>
        <v>24.696999999999999</v>
      </c>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7"/>
    </row>
    <row r="40" spans="1:55" ht="23.25" thickBot="1" x14ac:dyDescent="0.25">
      <c r="A40" s="575"/>
      <c r="B40" s="968"/>
      <c r="C40" s="764" t="s">
        <v>1340</v>
      </c>
      <c r="D40" s="765" t="s">
        <v>773</v>
      </c>
      <c r="E40" s="858"/>
      <c r="F40" s="460"/>
      <c r="G40" s="460"/>
      <c r="H40" s="460"/>
      <c r="I40" s="460"/>
      <c r="J40" s="460"/>
      <c r="K40" s="460"/>
      <c r="L40" s="460"/>
      <c r="M40" s="460"/>
      <c r="N40" s="460"/>
      <c r="O40" s="460"/>
      <c r="P40" s="460"/>
      <c r="Q40" s="460"/>
      <c r="R40" s="460"/>
      <c r="S40" s="460"/>
      <c r="T40" s="460"/>
      <c r="U40" s="460"/>
      <c r="V40" s="460"/>
      <c r="W40" s="460"/>
      <c r="X40" s="460"/>
      <c r="Y40" s="247">
        <f>Y39*1.3</f>
        <v>39.637</v>
      </c>
      <c r="Z40" s="832" t="s">
        <v>40</v>
      </c>
      <c r="AA40" s="135">
        <f>'Ribassi PE'!$K$44</f>
        <v>0.27</v>
      </c>
      <c r="AB40" s="136">
        <f t="shared" si="0"/>
        <v>28.934999999999999</v>
      </c>
      <c r="AC40" s="135">
        <f>'Ribassi PE'!$M$44</f>
        <v>0.19</v>
      </c>
      <c r="AD40" s="136">
        <f t="shared" si="1"/>
        <v>32.106000000000002</v>
      </c>
      <c r="AE40" s="576"/>
      <c r="AF40" s="576"/>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7"/>
    </row>
    <row r="41" spans="1:55" ht="34.5" thickBot="1" x14ac:dyDescent="0.25">
      <c r="A41" s="575"/>
      <c r="B41" s="968"/>
      <c r="C41" s="764" t="s">
        <v>1341</v>
      </c>
      <c r="D41" s="765" t="s">
        <v>773</v>
      </c>
      <c r="E41" s="858"/>
      <c r="F41" s="460"/>
      <c r="G41" s="460"/>
      <c r="H41" s="460"/>
      <c r="I41" s="460"/>
      <c r="J41" s="460"/>
      <c r="K41" s="460"/>
      <c r="L41" s="460"/>
      <c r="M41" s="460"/>
      <c r="N41" s="460"/>
      <c r="O41" s="460"/>
      <c r="P41" s="460"/>
      <c r="Q41" s="460"/>
      <c r="R41" s="460"/>
      <c r="S41" s="460"/>
      <c r="T41" s="460"/>
      <c r="U41" s="460"/>
      <c r="V41" s="460"/>
      <c r="W41" s="460"/>
      <c r="X41" s="460"/>
      <c r="Y41" s="247">
        <f>Y39*1.65</f>
        <v>50.308499999999995</v>
      </c>
      <c r="Z41" s="832" t="s">
        <v>40</v>
      </c>
      <c r="AA41" s="135">
        <f>'Ribassi PE'!$K$44</f>
        <v>0.27</v>
      </c>
      <c r="AB41" s="136">
        <f t="shared" si="0"/>
        <v>36.725000000000001</v>
      </c>
      <c r="AC41" s="135">
        <f>'Ribassi PE'!$M$44</f>
        <v>0.19</v>
      </c>
      <c r="AD41" s="136">
        <f t="shared" si="1"/>
        <v>40.75</v>
      </c>
      <c r="AE41" s="576"/>
      <c r="AF41" s="576"/>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7"/>
    </row>
    <row r="42" spans="1:55" ht="34.5" thickBot="1" x14ac:dyDescent="0.25">
      <c r="A42" s="578"/>
      <c r="B42" s="969"/>
      <c r="C42" s="304" t="s">
        <v>1342</v>
      </c>
      <c r="D42" s="301" t="s">
        <v>773</v>
      </c>
      <c r="E42" s="851"/>
      <c r="F42" s="456"/>
      <c r="G42" s="456"/>
      <c r="H42" s="456"/>
      <c r="I42" s="456"/>
      <c r="J42" s="456"/>
      <c r="K42" s="456"/>
      <c r="L42" s="456"/>
      <c r="M42" s="456"/>
      <c r="N42" s="456"/>
      <c r="O42" s="456"/>
      <c r="P42" s="456"/>
      <c r="Q42" s="456"/>
      <c r="R42" s="456"/>
      <c r="S42" s="456"/>
      <c r="T42" s="456"/>
      <c r="U42" s="456"/>
      <c r="V42" s="456"/>
      <c r="W42" s="456"/>
      <c r="X42" s="456"/>
      <c r="Y42" s="137">
        <f>Y39*1.75</f>
        <v>53.357499999999995</v>
      </c>
      <c r="Z42" s="612" t="s">
        <v>40</v>
      </c>
      <c r="AA42" s="138">
        <f>'Ribassi PE'!$K$44</f>
        <v>0.27</v>
      </c>
      <c r="AB42" s="139">
        <f t="shared" si="0"/>
        <v>38.951000000000001</v>
      </c>
      <c r="AC42" s="138">
        <f>'Ribassi PE'!$M$44</f>
        <v>0.19</v>
      </c>
      <c r="AD42" s="139">
        <f t="shared" si="1"/>
        <v>43.22</v>
      </c>
      <c r="AE42" s="576"/>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7"/>
    </row>
    <row r="43" spans="1:55" ht="23.25" thickBot="1" x14ac:dyDescent="0.25">
      <c r="A43" s="575"/>
      <c r="B43" s="970" t="s">
        <v>772</v>
      </c>
      <c r="C43" s="310" t="s">
        <v>1343</v>
      </c>
      <c r="D43" s="303" t="s">
        <v>773</v>
      </c>
      <c r="E43" s="849"/>
      <c r="F43" s="454"/>
      <c r="G43" s="454"/>
      <c r="H43" s="454"/>
      <c r="I43" s="454"/>
      <c r="J43" s="454"/>
      <c r="K43" s="454"/>
      <c r="L43" s="454"/>
      <c r="M43" s="454"/>
      <c r="N43" s="454"/>
      <c r="O43" s="454"/>
      <c r="P43" s="454"/>
      <c r="Q43" s="454"/>
      <c r="R43" s="454"/>
      <c r="S43" s="454"/>
      <c r="T43" s="454"/>
      <c r="U43" s="454"/>
      <c r="V43" s="454"/>
      <c r="W43" s="454"/>
      <c r="X43" s="454"/>
      <c r="Y43" s="130">
        <v>24.25</v>
      </c>
      <c r="Z43" s="610" t="s">
        <v>40</v>
      </c>
      <c r="AA43" s="131">
        <f>'Ribassi PE'!$K$44</f>
        <v>0.27</v>
      </c>
      <c r="AB43" s="132">
        <f t="shared" si="0"/>
        <v>17.702999999999999</v>
      </c>
      <c r="AC43" s="133">
        <f>'Ribassi PE'!$M$44</f>
        <v>0.19</v>
      </c>
      <c r="AD43" s="132">
        <f t="shared" si="1"/>
        <v>19.643000000000001</v>
      </c>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7"/>
    </row>
    <row r="44" spans="1:55" ht="23.25" thickBot="1" x14ac:dyDescent="0.25">
      <c r="A44" s="575"/>
      <c r="B44" s="968"/>
      <c r="C44" s="762" t="s">
        <v>1344</v>
      </c>
      <c r="D44" s="763" t="s">
        <v>773</v>
      </c>
      <c r="E44" s="859"/>
      <c r="F44" s="461"/>
      <c r="G44" s="461"/>
      <c r="H44" s="461"/>
      <c r="I44" s="461"/>
      <c r="J44" s="461"/>
      <c r="K44" s="461"/>
      <c r="L44" s="461"/>
      <c r="M44" s="461"/>
      <c r="N44" s="461"/>
      <c r="O44" s="461"/>
      <c r="P44" s="461"/>
      <c r="Q44" s="461"/>
      <c r="R44" s="461"/>
      <c r="S44" s="461"/>
      <c r="T44" s="461"/>
      <c r="U44" s="461"/>
      <c r="V44" s="461"/>
      <c r="W44" s="461"/>
      <c r="X44" s="461"/>
      <c r="Y44" s="253">
        <f>Y43*1.3</f>
        <v>31.525000000000002</v>
      </c>
      <c r="Z44" s="831" t="s">
        <v>40</v>
      </c>
      <c r="AA44" s="135">
        <f>'Ribassi PE'!$K$44</f>
        <v>0.27</v>
      </c>
      <c r="AB44" s="136">
        <f t="shared" si="0"/>
        <v>23.013000000000002</v>
      </c>
      <c r="AC44" s="135">
        <f>'Ribassi PE'!$M$44</f>
        <v>0.19</v>
      </c>
      <c r="AD44" s="136">
        <f t="shared" si="1"/>
        <v>25.535</v>
      </c>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7"/>
    </row>
    <row r="45" spans="1:55" ht="34.5" thickBot="1" x14ac:dyDescent="0.25">
      <c r="A45" s="575"/>
      <c r="B45" s="968"/>
      <c r="C45" s="762" t="s">
        <v>1345</v>
      </c>
      <c r="D45" s="763" t="s">
        <v>773</v>
      </c>
      <c r="E45" s="859"/>
      <c r="F45" s="461"/>
      <c r="G45" s="461"/>
      <c r="H45" s="461"/>
      <c r="I45" s="461"/>
      <c r="J45" s="461"/>
      <c r="K45" s="461"/>
      <c r="L45" s="461"/>
      <c r="M45" s="461"/>
      <c r="N45" s="461"/>
      <c r="O45" s="461"/>
      <c r="P45" s="461"/>
      <c r="Q45" s="461"/>
      <c r="R45" s="461"/>
      <c r="S45" s="461"/>
      <c r="T45" s="461"/>
      <c r="U45" s="461"/>
      <c r="V45" s="461"/>
      <c r="W45" s="461"/>
      <c r="X45" s="461"/>
      <c r="Y45" s="253">
        <f>Y43*1.65</f>
        <v>40.012499999999996</v>
      </c>
      <c r="Z45" s="831" t="s">
        <v>40</v>
      </c>
      <c r="AA45" s="135">
        <f>'Ribassi PE'!$K$44</f>
        <v>0.27</v>
      </c>
      <c r="AB45" s="136">
        <f t="shared" si="0"/>
        <v>29.209</v>
      </c>
      <c r="AC45" s="135">
        <f>'Ribassi PE'!$M$44</f>
        <v>0.19</v>
      </c>
      <c r="AD45" s="136">
        <f t="shared" si="1"/>
        <v>32.409999999999997</v>
      </c>
      <c r="AE45" s="576"/>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7"/>
    </row>
    <row r="46" spans="1:55" ht="34.5" thickBot="1" x14ac:dyDescent="0.25">
      <c r="A46" s="575"/>
      <c r="B46" s="971"/>
      <c r="C46" s="762" t="s">
        <v>1346</v>
      </c>
      <c r="D46" s="763" t="s">
        <v>773</v>
      </c>
      <c r="E46" s="859"/>
      <c r="F46" s="461"/>
      <c r="G46" s="461"/>
      <c r="H46" s="461"/>
      <c r="I46" s="461"/>
      <c r="J46" s="461"/>
      <c r="K46" s="461"/>
      <c r="L46" s="461"/>
      <c r="M46" s="461"/>
      <c r="N46" s="461"/>
      <c r="O46" s="461"/>
      <c r="P46" s="461"/>
      <c r="Q46" s="461"/>
      <c r="R46" s="461"/>
      <c r="S46" s="461"/>
      <c r="T46" s="461"/>
      <c r="U46" s="461"/>
      <c r="V46" s="461"/>
      <c r="W46" s="461"/>
      <c r="X46" s="461"/>
      <c r="Y46" s="253">
        <f>Y43*1.75</f>
        <v>42.4375</v>
      </c>
      <c r="Z46" s="831" t="s">
        <v>40</v>
      </c>
      <c r="AA46" s="135">
        <f>'Ribassi PE'!$K$44</f>
        <v>0.27</v>
      </c>
      <c r="AB46" s="136">
        <f t="shared" si="0"/>
        <v>30.978999999999999</v>
      </c>
      <c r="AC46" s="135">
        <f>'Ribassi PE'!$M$44</f>
        <v>0.19</v>
      </c>
      <c r="AD46" s="136">
        <f t="shared" si="1"/>
        <v>34.374000000000002</v>
      </c>
      <c r="AE46" s="576"/>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7"/>
    </row>
    <row r="47" spans="1:55" ht="23.25" thickBot="1" x14ac:dyDescent="0.25">
      <c r="A47" s="575"/>
      <c r="B47" s="967" t="s">
        <v>774</v>
      </c>
      <c r="C47" s="298" t="s">
        <v>1347</v>
      </c>
      <c r="D47" s="299" t="s">
        <v>773</v>
      </c>
      <c r="E47" s="850"/>
      <c r="F47" s="455"/>
      <c r="G47" s="455"/>
      <c r="H47" s="455"/>
      <c r="I47" s="455"/>
      <c r="J47" s="455"/>
      <c r="K47" s="455"/>
      <c r="L47" s="455"/>
      <c r="M47" s="455"/>
      <c r="N47" s="455"/>
      <c r="O47" s="455"/>
      <c r="P47" s="455"/>
      <c r="Q47" s="455"/>
      <c r="R47" s="455"/>
      <c r="S47" s="455"/>
      <c r="T47" s="455"/>
      <c r="U47" s="455"/>
      <c r="V47" s="455"/>
      <c r="W47" s="455"/>
      <c r="X47" s="455"/>
      <c r="Y47" s="134">
        <v>27.37</v>
      </c>
      <c r="Z47" s="611" t="s">
        <v>40</v>
      </c>
      <c r="AA47" s="135">
        <f>'Ribassi PE'!$K$44</f>
        <v>0.27</v>
      </c>
      <c r="AB47" s="136">
        <f t="shared" si="0"/>
        <v>19.98</v>
      </c>
      <c r="AC47" s="135">
        <f>'Ribassi PE'!$M$44</f>
        <v>0.19</v>
      </c>
      <c r="AD47" s="136">
        <f t="shared" si="1"/>
        <v>22.17</v>
      </c>
      <c r="AE47" s="576"/>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7"/>
    </row>
    <row r="48" spans="1:55" ht="23.25" thickBot="1" x14ac:dyDescent="0.25">
      <c r="A48" s="575"/>
      <c r="B48" s="968"/>
      <c r="C48" s="764" t="s">
        <v>1348</v>
      </c>
      <c r="D48" s="765" t="s">
        <v>773</v>
      </c>
      <c r="E48" s="858"/>
      <c r="F48" s="460"/>
      <c r="G48" s="460"/>
      <c r="H48" s="460"/>
      <c r="I48" s="460"/>
      <c r="J48" s="460"/>
      <c r="K48" s="460"/>
      <c r="L48" s="460"/>
      <c r="M48" s="460"/>
      <c r="N48" s="460"/>
      <c r="O48" s="460"/>
      <c r="P48" s="460"/>
      <c r="Q48" s="460"/>
      <c r="R48" s="460"/>
      <c r="S48" s="460"/>
      <c r="T48" s="460"/>
      <c r="U48" s="460"/>
      <c r="V48" s="460"/>
      <c r="W48" s="460"/>
      <c r="X48" s="460"/>
      <c r="Y48" s="247">
        <f>Y47*1.3</f>
        <v>35.581000000000003</v>
      </c>
      <c r="Z48" s="832" t="s">
        <v>40</v>
      </c>
      <c r="AA48" s="135">
        <f>'Ribassi PE'!$K$44</f>
        <v>0.27</v>
      </c>
      <c r="AB48" s="136">
        <f t="shared" si="0"/>
        <v>25.974</v>
      </c>
      <c r="AC48" s="135">
        <f>'Ribassi PE'!$M$44</f>
        <v>0.19</v>
      </c>
      <c r="AD48" s="136">
        <f t="shared" si="1"/>
        <v>28.821000000000002</v>
      </c>
      <c r="AE48" s="576"/>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7"/>
    </row>
    <row r="49" spans="1:55" ht="34.5" thickBot="1" x14ac:dyDescent="0.25">
      <c r="A49" s="575"/>
      <c r="B49" s="968"/>
      <c r="C49" s="764" t="s">
        <v>1349</v>
      </c>
      <c r="D49" s="765" t="s">
        <v>773</v>
      </c>
      <c r="E49" s="858"/>
      <c r="F49" s="460"/>
      <c r="G49" s="460"/>
      <c r="H49" s="460"/>
      <c r="I49" s="460"/>
      <c r="J49" s="460"/>
      <c r="K49" s="460"/>
      <c r="L49" s="460"/>
      <c r="M49" s="460"/>
      <c r="N49" s="460"/>
      <c r="O49" s="460"/>
      <c r="P49" s="460"/>
      <c r="Q49" s="460"/>
      <c r="R49" s="460"/>
      <c r="S49" s="460"/>
      <c r="T49" s="460"/>
      <c r="U49" s="460"/>
      <c r="V49" s="460"/>
      <c r="W49" s="460"/>
      <c r="X49" s="460"/>
      <c r="Y49" s="247">
        <f>Y47*1.65</f>
        <v>45.160499999999999</v>
      </c>
      <c r="Z49" s="832" t="s">
        <v>40</v>
      </c>
      <c r="AA49" s="135">
        <f>'Ribassi PE'!$K$44</f>
        <v>0.27</v>
      </c>
      <c r="AB49" s="136">
        <f t="shared" si="0"/>
        <v>32.966999999999999</v>
      </c>
      <c r="AC49" s="135">
        <f>'Ribassi PE'!$M$44</f>
        <v>0.19</v>
      </c>
      <c r="AD49" s="136">
        <f t="shared" si="1"/>
        <v>36.58</v>
      </c>
      <c r="AE49" s="576"/>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7"/>
    </row>
    <row r="50" spans="1:55" ht="34.5" thickBot="1" x14ac:dyDescent="0.25">
      <c r="A50" s="575"/>
      <c r="B50" s="971"/>
      <c r="C50" s="764" t="s">
        <v>1350</v>
      </c>
      <c r="D50" s="765" t="s">
        <v>773</v>
      </c>
      <c r="E50" s="858"/>
      <c r="F50" s="460"/>
      <c r="G50" s="460"/>
      <c r="H50" s="460"/>
      <c r="I50" s="460"/>
      <c r="J50" s="460"/>
      <c r="K50" s="460"/>
      <c r="L50" s="460"/>
      <c r="M50" s="460"/>
      <c r="N50" s="460"/>
      <c r="O50" s="460"/>
      <c r="P50" s="460"/>
      <c r="Q50" s="460"/>
      <c r="R50" s="460"/>
      <c r="S50" s="460"/>
      <c r="T50" s="460"/>
      <c r="U50" s="460"/>
      <c r="V50" s="460"/>
      <c r="W50" s="460"/>
      <c r="X50" s="460"/>
      <c r="Y50" s="247">
        <f>Y47*1.75</f>
        <v>47.897500000000001</v>
      </c>
      <c r="Z50" s="832" t="s">
        <v>40</v>
      </c>
      <c r="AA50" s="135">
        <f>'Ribassi PE'!$K$44</f>
        <v>0.27</v>
      </c>
      <c r="AB50" s="136">
        <f t="shared" si="0"/>
        <v>34.965000000000003</v>
      </c>
      <c r="AC50" s="135">
        <f>'Ribassi PE'!$M$44</f>
        <v>0.19</v>
      </c>
      <c r="AD50" s="136">
        <f t="shared" si="1"/>
        <v>38.796999999999997</v>
      </c>
      <c r="AE50" s="576"/>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7"/>
    </row>
    <row r="51" spans="1:55" ht="23.25" thickBot="1" x14ac:dyDescent="0.25">
      <c r="A51" s="575"/>
      <c r="B51" s="967" t="s">
        <v>775</v>
      </c>
      <c r="C51" s="764" t="s">
        <v>1351</v>
      </c>
      <c r="D51" s="765" t="s">
        <v>773</v>
      </c>
      <c r="E51" s="858"/>
      <c r="F51" s="460"/>
      <c r="G51" s="460"/>
      <c r="H51" s="460"/>
      <c r="I51" s="460"/>
      <c r="J51" s="460"/>
      <c r="K51" s="460"/>
      <c r="L51" s="460"/>
      <c r="M51" s="460"/>
      <c r="N51" s="460"/>
      <c r="O51" s="460"/>
      <c r="P51" s="460"/>
      <c r="Q51" s="460"/>
      <c r="R51" s="460"/>
      <c r="S51" s="460"/>
      <c r="T51" s="460"/>
      <c r="U51" s="460"/>
      <c r="V51" s="460"/>
      <c r="W51" s="460"/>
      <c r="X51" s="460"/>
      <c r="Y51" s="247">
        <v>30.49</v>
      </c>
      <c r="Z51" s="832" t="s">
        <v>40</v>
      </c>
      <c r="AA51" s="135">
        <f>'Ribassi PE'!$K$44</f>
        <v>0.27</v>
      </c>
      <c r="AB51" s="136">
        <f t="shared" si="0"/>
        <v>22.257999999999999</v>
      </c>
      <c r="AC51" s="135">
        <f>'Ribassi PE'!$M$44</f>
        <v>0.19</v>
      </c>
      <c r="AD51" s="136">
        <f t="shared" si="1"/>
        <v>24.696999999999999</v>
      </c>
      <c r="AE51" s="576"/>
      <c r="AF51" s="576"/>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7"/>
    </row>
    <row r="52" spans="1:55" ht="23.25" thickBot="1" x14ac:dyDescent="0.25">
      <c r="A52" s="575"/>
      <c r="B52" s="968"/>
      <c r="C52" s="764" t="s">
        <v>1352</v>
      </c>
      <c r="D52" s="765" t="s">
        <v>773</v>
      </c>
      <c r="E52" s="858"/>
      <c r="F52" s="460"/>
      <c r="G52" s="460"/>
      <c r="H52" s="460"/>
      <c r="I52" s="460"/>
      <c r="J52" s="460"/>
      <c r="K52" s="460"/>
      <c r="L52" s="460"/>
      <c r="M52" s="460"/>
      <c r="N52" s="460"/>
      <c r="O52" s="460"/>
      <c r="P52" s="460"/>
      <c r="Q52" s="460"/>
      <c r="R52" s="460"/>
      <c r="S52" s="460"/>
      <c r="T52" s="460"/>
      <c r="U52" s="460"/>
      <c r="V52" s="460"/>
      <c r="W52" s="460"/>
      <c r="X52" s="460"/>
      <c r="Y52" s="247">
        <f>Y51*1.3</f>
        <v>39.637</v>
      </c>
      <c r="Z52" s="832" t="s">
        <v>40</v>
      </c>
      <c r="AA52" s="135">
        <f>'Ribassi PE'!$K$44</f>
        <v>0.27</v>
      </c>
      <c r="AB52" s="136">
        <f t="shared" si="0"/>
        <v>28.934999999999999</v>
      </c>
      <c r="AC52" s="135">
        <f>'Ribassi PE'!$M$44</f>
        <v>0.19</v>
      </c>
      <c r="AD52" s="136">
        <f t="shared" si="1"/>
        <v>32.106000000000002</v>
      </c>
      <c r="AE52" s="576"/>
      <c r="AF52" s="576"/>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7"/>
    </row>
    <row r="53" spans="1:55" ht="34.5" thickBot="1" x14ac:dyDescent="0.25">
      <c r="A53" s="575"/>
      <c r="B53" s="968"/>
      <c r="C53" s="764" t="s">
        <v>1353</v>
      </c>
      <c r="D53" s="765" t="s">
        <v>773</v>
      </c>
      <c r="E53" s="858"/>
      <c r="F53" s="460"/>
      <c r="G53" s="460"/>
      <c r="H53" s="460"/>
      <c r="I53" s="460"/>
      <c r="J53" s="460"/>
      <c r="K53" s="460"/>
      <c r="L53" s="460"/>
      <c r="M53" s="460"/>
      <c r="N53" s="460"/>
      <c r="O53" s="460"/>
      <c r="P53" s="460"/>
      <c r="Q53" s="460"/>
      <c r="R53" s="460"/>
      <c r="S53" s="460"/>
      <c r="T53" s="460"/>
      <c r="U53" s="460"/>
      <c r="V53" s="460"/>
      <c r="W53" s="460"/>
      <c r="X53" s="460"/>
      <c r="Y53" s="247">
        <f>Y51*1.65</f>
        <v>50.308499999999995</v>
      </c>
      <c r="Z53" s="832" t="s">
        <v>40</v>
      </c>
      <c r="AA53" s="135">
        <f>'Ribassi PE'!$K$44</f>
        <v>0.27</v>
      </c>
      <c r="AB53" s="136">
        <f t="shared" si="0"/>
        <v>36.725000000000001</v>
      </c>
      <c r="AC53" s="135">
        <f>'Ribassi PE'!$M$44</f>
        <v>0.19</v>
      </c>
      <c r="AD53" s="136">
        <f t="shared" si="1"/>
        <v>40.75</v>
      </c>
      <c r="AE53" s="576"/>
      <c r="AF53" s="576"/>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7"/>
    </row>
    <row r="54" spans="1:55" ht="34.5" thickBot="1" x14ac:dyDescent="0.25">
      <c r="A54" s="578"/>
      <c r="B54" s="969"/>
      <c r="C54" s="304" t="s">
        <v>1354</v>
      </c>
      <c r="D54" s="301" t="s">
        <v>773</v>
      </c>
      <c r="E54" s="851"/>
      <c r="F54" s="456"/>
      <c r="G54" s="456"/>
      <c r="H54" s="456"/>
      <c r="I54" s="456"/>
      <c r="J54" s="456"/>
      <c r="K54" s="456"/>
      <c r="L54" s="456"/>
      <c r="M54" s="456"/>
      <c r="N54" s="456"/>
      <c r="O54" s="456"/>
      <c r="P54" s="456"/>
      <c r="Q54" s="456"/>
      <c r="R54" s="456"/>
      <c r="S54" s="456"/>
      <c r="T54" s="456"/>
      <c r="U54" s="456"/>
      <c r="V54" s="456"/>
      <c r="W54" s="456"/>
      <c r="X54" s="456"/>
      <c r="Y54" s="137">
        <f>Y51*1.75</f>
        <v>53.357499999999995</v>
      </c>
      <c r="Z54" s="612" t="s">
        <v>40</v>
      </c>
      <c r="AA54" s="138">
        <f>'Ribassi PE'!$K$44</f>
        <v>0.27</v>
      </c>
      <c r="AB54" s="139">
        <f t="shared" si="0"/>
        <v>38.951000000000001</v>
      </c>
      <c r="AC54" s="138">
        <f>'Ribassi PE'!$M$44</f>
        <v>0.19</v>
      </c>
      <c r="AD54" s="139">
        <f t="shared" si="1"/>
        <v>43.22</v>
      </c>
      <c r="AE54" s="576"/>
      <c r="AF54" s="576"/>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7"/>
    </row>
    <row r="55" spans="1:55" s="99" customFormat="1" ht="12.75" thickBot="1" x14ac:dyDescent="0.25">
      <c r="A55" s="98"/>
      <c r="B55" s="98"/>
      <c r="C55" s="98"/>
      <c r="D55" s="125" t="s">
        <v>329</v>
      </c>
      <c r="E55" s="126">
        <f t="shared" ref="E55:X55" si="2">SUMPRODUCT(E7:E54,$Y$7:$Y$54)*E$4</f>
        <v>1058737.44</v>
      </c>
      <c r="F55" s="126">
        <f t="shared" si="2"/>
        <v>0</v>
      </c>
      <c r="G55" s="126">
        <f t="shared" si="2"/>
        <v>0</v>
      </c>
      <c r="H55" s="126">
        <f t="shared" si="2"/>
        <v>0</v>
      </c>
      <c r="I55" s="126">
        <f t="shared" si="2"/>
        <v>0</v>
      </c>
      <c r="J55" s="126">
        <f t="shared" si="2"/>
        <v>0</v>
      </c>
      <c r="K55" s="126">
        <f t="shared" si="2"/>
        <v>0</v>
      </c>
      <c r="L55" s="126">
        <f t="shared" si="2"/>
        <v>0</v>
      </c>
      <c r="M55" s="126">
        <f t="shared" si="2"/>
        <v>0</v>
      </c>
      <c r="N55" s="126">
        <f t="shared" si="2"/>
        <v>0</v>
      </c>
      <c r="O55" s="126">
        <f t="shared" si="2"/>
        <v>0</v>
      </c>
      <c r="P55" s="126">
        <f t="shared" si="2"/>
        <v>0</v>
      </c>
      <c r="Q55" s="126">
        <f t="shared" si="2"/>
        <v>0</v>
      </c>
      <c r="R55" s="126">
        <f t="shared" si="2"/>
        <v>0</v>
      </c>
      <c r="S55" s="126">
        <f t="shared" si="2"/>
        <v>0</v>
      </c>
      <c r="T55" s="126">
        <f t="shared" si="2"/>
        <v>0</v>
      </c>
      <c r="U55" s="126">
        <f t="shared" si="2"/>
        <v>0</v>
      </c>
      <c r="V55" s="126">
        <f t="shared" si="2"/>
        <v>0</v>
      </c>
      <c r="W55" s="126">
        <f t="shared" si="2"/>
        <v>0</v>
      </c>
      <c r="X55" s="126">
        <f t="shared" si="2"/>
        <v>0</v>
      </c>
      <c r="Y55" s="97"/>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6"/>
    </row>
    <row r="56" spans="1:55" s="99" customFormat="1" ht="12.75" thickBot="1" x14ac:dyDescent="0.25">
      <c r="A56" s="98"/>
      <c r="B56" s="98"/>
      <c r="C56" s="98"/>
      <c r="D56" s="605" t="s">
        <v>330</v>
      </c>
      <c r="E56" s="142">
        <f>SUMPRODUCT(E7:E54,$AB$7:$AB$54)*E$4</f>
        <v>772888.12800000003</v>
      </c>
      <c r="F56" s="142">
        <f t="shared" ref="F56:X56" si="3">SUMPRODUCT(F7:F54,$AB$7:$AB$54)*F$4</f>
        <v>0</v>
      </c>
      <c r="G56" s="142">
        <f t="shared" si="3"/>
        <v>0</v>
      </c>
      <c r="H56" s="142">
        <f t="shared" si="3"/>
        <v>0</v>
      </c>
      <c r="I56" s="142">
        <f t="shared" si="3"/>
        <v>0</v>
      </c>
      <c r="J56" s="142">
        <f t="shared" si="3"/>
        <v>0</v>
      </c>
      <c r="K56" s="142">
        <f t="shared" si="3"/>
        <v>0</v>
      </c>
      <c r="L56" s="142">
        <f t="shared" si="3"/>
        <v>0</v>
      </c>
      <c r="M56" s="142">
        <f t="shared" si="3"/>
        <v>0</v>
      </c>
      <c r="N56" s="142">
        <f t="shared" si="3"/>
        <v>0</v>
      </c>
      <c r="O56" s="142">
        <f t="shared" si="3"/>
        <v>0</v>
      </c>
      <c r="P56" s="142">
        <f t="shared" si="3"/>
        <v>0</v>
      </c>
      <c r="Q56" s="142">
        <f t="shared" si="3"/>
        <v>0</v>
      </c>
      <c r="R56" s="142">
        <f t="shared" si="3"/>
        <v>0</v>
      </c>
      <c r="S56" s="142">
        <f t="shared" si="3"/>
        <v>0</v>
      </c>
      <c r="T56" s="142">
        <f t="shared" si="3"/>
        <v>0</v>
      </c>
      <c r="U56" s="142">
        <f t="shared" si="3"/>
        <v>0</v>
      </c>
      <c r="V56" s="142">
        <f t="shared" si="3"/>
        <v>0</v>
      </c>
      <c r="W56" s="142">
        <f t="shared" si="3"/>
        <v>0</v>
      </c>
      <c r="X56" s="142">
        <f t="shared" si="3"/>
        <v>0</v>
      </c>
      <c r="Y56" s="97"/>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6"/>
    </row>
    <row r="57" spans="1:55" s="99" customFormat="1" ht="12.75" thickBot="1" x14ac:dyDescent="0.25">
      <c r="A57" s="98"/>
      <c r="B57" s="98"/>
      <c r="C57" s="100"/>
      <c r="D57" s="605" t="s">
        <v>331</v>
      </c>
      <c r="E57" s="142">
        <f t="shared" ref="E57:X57" si="4">SUMPRODUCT(E7:E54,$AD$7:$AD$54)*E$4</f>
        <v>857581.152</v>
      </c>
      <c r="F57" s="142">
        <f t="shared" si="4"/>
        <v>0</v>
      </c>
      <c r="G57" s="142">
        <f t="shared" si="4"/>
        <v>0</v>
      </c>
      <c r="H57" s="142">
        <f t="shared" si="4"/>
        <v>0</v>
      </c>
      <c r="I57" s="142">
        <f t="shared" si="4"/>
        <v>0</v>
      </c>
      <c r="J57" s="142">
        <f t="shared" si="4"/>
        <v>0</v>
      </c>
      <c r="K57" s="142">
        <f t="shared" si="4"/>
        <v>0</v>
      </c>
      <c r="L57" s="142">
        <f t="shared" si="4"/>
        <v>0</v>
      </c>
      <c r="M57" s="142">
        <f t="shared" si="4"/>
        <v>0</v>
      </c>
      <c r="N57" s="142">
        <f t="shared" si="4"/>
        <v>0</v>
      </c>
      <c r="O57" s="142">
        <f t="shared" si="4"/>
        <v>0</v>
      </c>
      <c r="P57" s="142">
        <f t="shared" si="4"/>
        <v>0</v>
      </c>
      <c r="Q57" s="142">
        <f t="shared" si="4"/>
        <v>0</v>
      </c>
      <c r="R57" s="142">
        <f t="shared" si="4"/>
        <v>0</v>
      </c>
      <c r="S57" s="142">
        <f t="shared" si="4"/>
        <v>0</v>
      </c>
      <c r="T57" s="142">
        <f t="shared" si="4"/>
        <v>0</v>
      </c>
      <c r="U57" s="142">
        <f t="shared" si="4"/>
        <v>0</v>
      </c>
      <c r="V57" s="142">
        <f t="shared" si="4"/>
        <v>0</v>
      </c>
      <c r="W57" s="142">
        <f t="shared" si="4"/>
        <v>0</v>
      </c>
      <c r="X57" s="142">
        <f t="shared" si="4"/>
        <v>0</v>
      </c>
      <c r="Y57" s="97"/>
      <c r="Z57" s="98"/>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6"/>
    </row>
    <row r="58" spans="1:55" s="603" customFormat="1" ht="12.75" thickBot="1" x14ac:dyDescent="0.25">
      <c r="A58" s="600"/>
      <c r="B58" s="145"/>
      <c r="C58" s="146"/>
      <c r="D58" s="606"/>
      <c r="E58" s="602"/>
      <c r="F58" s="602"/>
      <c r="G58" s="602"/>
      <c r="H58" s="602"/>
      <c r="I58" s="602"/>
      <c r="J58" s="602"/>
      <c r="K58" s="602"/>
      <c r="L58" s="602"/>
      <c r="M58" s="602"/>
      <c r="N58" s="602"/>
      <c r="O58" s="602"/>
      <c r="P58" s="602"/>
      <c r="Q58" s="602"/>
      <c r="R58" s="602"/>
      <c r="S58" s="602"/>
      <c r="T58" s="602"/>
      <c r="U58" s="602"/>
      <c r="V58" s="602"/>
      <c r="W58" s="602"/>
      <c r="X58" s="602"/>
      <c r="Y58" s="147"/>
      <c r="Z58" s="144"/>
      <c r="AA58" s="144"/>
      <c r="AB58" s="144"/>
      <c r="AC58" s="144"/>
      <c r="AD58" s="144"/>
      <c r="AE58" s="600"/>
      <c r="AF58" s="600"/>
      <c r="AG58" s="600"/>
      <c r="AH58" s="600"/>
      <c r="AI58" s="600"/>
      <c r="AJ58" s="600"/>
      <c r="AK58" s="600"/>
      <c r="AL58" s="600"/>
      <c r="AM58" s="600"/>
      <c r="AN58" s="600"/>
      <c r="AO58" s="600"/>
      <c r="AP58" s="600"/>
      <c r="AQ58" s="600"/>
      <c r="AR58" s="600"/>
      <c r="AS58" s="600"/>
      <c r="AT58" s="600"/>
      <c r="AU58" s="600"/>
      <c r="AV58" s="600"/>
      <c r="AW58" s="600"/>
      <c r="AX58" s="600"/>
      <c r="AY58" s="600"/>
      <c r="AZ58" s="600"/>
      <c r="BA58" s="600"/>
      <c r="BB58" s="600"/>
      <c r="BC58" s="601"/>
    </row>
    <row r="59" spans="1:55" ht="25.5" customHeight="1" thickBot="1" x14ac:dyDescent="0.25">
      <c r="A59" s="576"/>
      <c r="B59" s="96"/>
      <c r="C59" s="607" t="s">
        <v>1166</v>
      </c>
      <c r="D59" s="143"/>
      <c r="E59" s="972" t="s">
        <v>1250</v>
      </c>
      <c r="F59" s="973"/>
      <c r="G59" s="973"/>
      <c r="H59" s="973"/>
      <c r="I59" s="973"/>
      <c r="J59" s="973"/>
      <c r="K59" s="973"/>
      <c r="L59" s="973"/>
      <c r="M59" s="973"/>
      <c r="N59" s="973"/>
      <c r="O59" s="973"/>
      <c r="P59" s="973"/>
      <c r="Q59" s="973"/>
      <c r="R59" s="973"/>
      <c r="S59" s="973"/>
      <c r="T59" s="973"/>
      <c r="U59" s="973"/>
      <c r="V59" s="973"/>
      <c r="W59" s="973"/>
      <c r="X59" s="974"/>
      <c r="Y59" s="97"/>
      <c r="Z59" s="98"/>
      <c r="AA59" s="98"/>
      <c r="AB59" s="98"/>
      <c r="AC59" s="98"/>
      <c r="AD59" s="98"/>
      <c r="AE59" s="576"/>
      <c r="AF59" s="576"/>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7"/>
    </row>
    <row r="60" spans="1:55" ht="68.099999999999994" customHeight="1" thickTop="1" thickBot="1" x14ac:dyDescent="0.25">
      <c r="A60" s="576"/>
      <c r="B60" s="96"/>
      <c r="C60" s="120" t="str">
        <f>IF(AND(SUM('Appalto Specifico BA'!C5:C6)=0,SUM(PTEC!E7:E18)&gt;0),"Attenzione! E' possibile richiedere elettricisti come personale di presidio solo se è stato attivato almeno uno tra i servizi di Manutenzione Impianti Elettrici e Manutenzione Impianti Speciali","OK")</f>
        <v>OK</v>
      </c>
      <c r="D60" s="143"/>
      <c r="E60" s="977"/>
      <c r="F60" s="975"/>
      <c r="G60" s="975"/>
      <c r="H60" s="975"/>
      <c r="I60" s="975"/>
      <c r="J60" s="975"/>
      <c r="K60" s="975"/>
      <c r="L60" s="975"/>
      <c r="M60" s="975"/>
      <c r="N60" s="975"/>
      <c r="O60" s="975"/>
      <c r="P60" s="975"/>
      <c r="Q60" s="975"/>
      <c r="R60" s="975"/>
      <c r="S60" s="975"/>
      <c r="T60" s="975"/>
      <c r="U60" s="975"/>
      <c r="V60" s="975"/>
      <c r="W60" s="975"/>
      <c r="X60" s="975"/>
      <c r="Y60" s="98"/>
      <c r="Z60" s="98"/>
      <c r="AA60" s="98"/>
      <c r="AB60" s="98"/>
      <c r="AC60" s="98"/>
      <c r="AD60" s="98"/>
      <c r="AE60" s="576"/>
      <c r="AF60" s="576"/>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7"/>
    </row>
    <row r="61" spans="1:55" ht="25.5" thickTop="1" thickBot="1" x14ac:dyDescent="0.25">
      <c r="A61" s="576"/>
      <c r="B61" s="96"/>
      <c r="C61" s="608" t="s">
        <v>1167</v>
      </c>
      <c r="D61" s="143"/>
      <c r="E61" s="975"/>
      <c r="F61" s="975"/>
      <c r="G61" s="975"/>
      <c r="H61" s="975"/>
      <c r="I61" s="975"/>
      <c r="J61" s="975"/>
      <c r="K61" s="975"/>
      <c r="L61" s="975"/>
      <c r="M61" s="975"/>
      <c r="N61" s="975"/>
      <c r="O61" s="975"/>
      <c r="P61" s="975"/>
      <c r="Q61" s="975"/>
      <c r="R61" s="975"/>
      <c r="S61" s="975"/>
      <c r="T61" s="975"/>
      <c r="U61" s="975"/>
      <c r="V61" s="975"/>
      <c r="W61" s="975"/>
      <c r="X61" s="975"/>
      <c r="Y61" s="98"/>
      <c r="Z61" s="98"/>
      <c r="AA61" s="98"/>
      <c r="AB61" s="98"/>
      <c r="AC61" s="98"/>
      <c r="AD61" s="98"/>
      <c r="AE61" s="576"/>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7"/>
    </row>
    <row r="62" spans="1:55" ht="68.099999999999994" customHeight="1" thickTop="1" thickBot="1" x14ac:dyDescent="0.25">
      <c r="A62" s="576"/>
      <c r="B62" s="96"/>
      <c r="C62" s="120" t="str">
        <f>IF(AND(SUM('Appalto Specifico BA'!C7:C8)=0,SUM(PTEC!E19:E30)&gt;0),"Attenzione! E' possibile richiedere termoidraulici come personale di presidio solo se è stato attivato almeno uno tra i servizi di Manutenzione Impianti di Raffrescamento, Manutenzione Impianti di Riscaldamento e Manutenzione Impianti Idrico Sanitari","OK")</f>
        <v>OK</v>
      </c>
      <c r="D62" s="143"/>
      <c r="E62" s="975"/>
      <c r="F62" s="975"/>
      <c r="G62" s="975"/>
      <c r="H62" s="975"/>
      <c r="I62" s="975"/>
      <c r="J62" s="975"/>
      <c r="K62" s="975"/>
      <c r="L62" s="975"/>
      <c r="M62" s="975"/>
      <c r="N62" s="975"/>
      <c r="O62" s="975"/>
      <c r="P62" s="975"/>
      <c r="Q62" s="975"/>
      <c r="R62" s="975"/>
      <c r="S62" s="975"/>
      <c r="T62" s="975"/>
      <c r="U62" s="975"/>
      <c r="V62" s="975"/>
      <c r="W62" s="975"/>
      <c r="X62" s="975"/>
      <c r="Y62" s="98"/>
      <c r="Z62" s="98"/>
      <c r="AA62" s="98"/>
      <c r="AB62" s="98"/>
      <c r="AC62" s="98"/>
      <c r="AD62" s="98"/>
      <c r="AE62" s="576"/>
      <c r="AF62" s="576"/>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7"/>
    </row>
    <row r="63" spans="1:55" ht="25.5" thickTop="1" thickBot="1" x14ac:dyDescent="0.25">
      <c r="A63" s="576"/>
      <c r="B63" s="96"/>
      <c r="C63" s="609" t="s">
        <v>1168</v>
      </c>
      <c r="D63" s="143"/>
      <c r="E63" s="975"/>
      <c r="F63" s="975"/>
      <c r="G63" s="975"/>
      <c r="H63" s="975"/>
      <c r="I63" s="975"/>
      <c r="J63" s="975"/>
      <c r="K63" s="975"/>
      <c r="L63" s="975"/>
      <c r="M63" s="975"/>
      <c r="N63" s="975"/>
      <c r="O63" s="975"/>
      <c r="P63" s="975"/>
      <c r="Q63" s="975"/>
      <c r="R63" s="975"/>
      <c r="S63" s="975"/>
      <c r="T63" s="975"/>
      <c r="U63" s="975"/>
      <c r="V63" s="975"/>
      <c r="W63" s="975"/>
      <c r="X63" s="975"/>
      <c r="Y63" s="98"/>
      <c r="Z63" s="98"/>
      <c r="AA63" s="98"/>
      <c r="AB63" s="98"/>
      <c r="AC63" s="98"/>
      <c r="AD63" s="98"/>
      <c r="AE63" s="576"/>
      <c r="AF63" s="576"/>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7"/>
    </row>
    <row r="64" spans="1:55" ht="68.099999999999994" customHeight="1" thickTop="1" thickBot="1" x14ac:dyDescent="0.25">
      <c r="A64" s="576"/>
      <c r="B64" s="96"/>
      <c r="C64" s="120" t="str">
        <f>IF(AND('Appalto Specifico BA'!C9=0,SUM(PTEC!E31:E42)&gt;0),"Attenzione! E' possibile richiedere ascensoristi come personale di presidio solo se è stato attivato il servizio di Manutenzione Impianti Elevatori","OK")</f>
        <v>OK</v>
      </c>
      <c r="D64" s="143"/>
      <c r="E64" s="975"/>
      <c r="F64" s="975"/>
      <c r="G64" s="975"/>
      <c r="H64" s="975"/>
      <c r="I64" s="975"/>
      <c r="J64" s="975"/>
      <c r="K64" s="975"/>
      <c r="L64" s="975"/>
      <c r="M64" s="975"/>
      <c r="N64" s="975"/>
      <c r="O64" s="975"/>
      <c r="P64" s="975"/>
      <c r="Q64" s="975"/>
      <c r="R64" s="975"/>
      <c r="S64" s="975"/>
      <c r="T64" s="975"/>
      <c r="U64" s="975"/>
      <c r="V64" s="975"/>
      <c r="W64" s="975"/>
      <c r="X64" s="975"/>
      <c r="Y64" s="98"/>
      <c r="Z64" s="98"/>
      <c r="AA64" s="98"/>
      <c r="AB64" s="98"/>
      <c r="AC64" s="98"/>
      <c r="AD64" s="98"/>
      <c r="AE64" s="576"/>
      <c r="AF64" s="576"/>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7"/>
    </row>
    <row r="65" spans="1:55" ht="25.5" thickTop="1" thickBot="1" x14ac:dyDescent="0.25">
      <c r="A65" s="576"/>
      <c r="B65" s="96"/>
      <c r="C65" s="609" t="s">
        <v>1169</v>
      </c>
      <c r="D65" s="143"/>
      <c r="E65" s="975"/>
      <c r="F65" s="975"/>
      <c r="G65" s="975"/>
      <c r="H65" s="975"/>
      <c r="I65" s="975"/>
      <c r="J65" s="975"/>
      <c r="K65" s="975"/>
      <c r="L65" s="975"/>
      <c r="M65" s="975"/>
      <c r="N65" s="975"/>
      <c r="O65" s="975"/>
      <c r="P65" s="975"/>
      <c r="Q65" s="975"/>
      <c r="R65" s="975"/>
      <c r="S65" s="975"/>
      <c r="T65" s="975"/>
      <c r="U65" s="975"/>
      <c r="V65" s="975"/>
      <c r="W65" s="975"/>
      <c r="X65" s="975"/>
      <c r="Y65" s="98"/>
      <c r="Z65" s="98"/>
      <c r="AA65" s="98"/>
      <c r="AB65" s="98"/>
      <c r="AC65" s="98"/>
      <c r="AD65" s="98"/>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7"/>
    </row>
    <row r="66" spans="1:55" ht="68.099999999999994" customHeight="1" thickTop="1" thickBot="1" x14ac:dyDescent="0.25">
      <c r="A66" s="576"/>
      <c r="B66" s="96"/>
      <c r="C66" s="120" t="str">
        <f>IF(AND(SUM('Appalto Specifico BA'!C5:C9)=0,SUM(PTEC!E43:E54)&gt;0),"Attenzione! E' possibile richiedere termoidraulici come personale di presidio solo se è stato attivato almeno uno tra i servizi di Manutenzione Impianti Elettrici, Speciali, Raffrescamento, Riscaldamento, Idrico Sanitari o Elevatori","OK")</f>
        <v>OK</v>
      </c>
      <c r="D66" s="143"/>
      <c r="E66" s="976"/>
      <c r="F66" s="976"/>
      <c r="G66" s="976"/>
      <c r="H66" s="976"/>
      <c r="I66" s="976"/>
      <c r="J66" s="976"/>
      <c r="K66" s="976"/>
      <c r="L66" s="976"/>
      <c r="M66" s="976"/>
      <c r="N66" s="976"/>
      <c r="O66" s="976"/>
      <c r="P66" s="976"/>
      <c r="Q66" s="976"/>
      <c r="R66" s="976"/>
      <c r="S66" s="976"/>
      <c r="T66" s="976"/>
      <c r="U66" s="976"/>
      <c r="V66" s="976"/>
      <c r="W66" s="976"/>
      <c r="X66" s="976"/>
      <c r="Y66" s="98"/>
      <c r="Z66" s="98"/>
      <c r="AA66" s="98"/>
      <c r="AB66" s="98"/>
      <c r="AC66" s="98"/>
      <c r="AD66" s="98"/>
      <c r="AE66" s="576"/>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7"/>
    </row>
    <row r="67" spans="1:55" ht="12" thickTop="1" x14ac:dyDescent="0.2">
      <c r="A67" s="576"/>
      <c r="B67" s="98"/>
      <c r="C67" s="98"/>
      <c r="D67" s="98"/>
      <c r="E67" s="604"/>
      <c r="F67" s="576"/>
      <c r="G67" s="576"/>
      <c r="H67" s="576"/>
      <c r="I67" s="576"/>
      <c r="J67" s="576"/>
      <c r="K67" s="576"/>
      <c r="L67" s="576"/>
      <c r="M67" s="576"/>
      <c r="N67" s="576"/>
      <c r="O67" s="576"/>
      <c r="P67" s="576"/>
      <c r="Q67" s="576"/>
      <c r="R67" s="576"/>
      <c r="S67" s="576"/>
      <c r="T67" s="576"/>
      <c r="U67" s="576"/>
      <c r="V67" s="576"/>
      <c r="W67" s="576"/>
      <c r="X67" s="576"/>
      <c r="Y67" s="98"/>
      <c r="Z67" s="98"/>
      <c r="AA67" s="98"/>
      <c r="AB67" s="98"/>
      <c r="AC67" s="98"/>
      <c r="AD67" s="98"/>
      <c r="AE67" s="576"/>
      <c r="AF67" s="576"/>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7"/>
    </row>
    <row r="68" spans="1:55" x14ac:dyDescent="0.2">
      <c r="A68" s="576"/>
      <c r="B68" s="98"/>
      <c r="C68" s="98"/>
      <c r="D68" s="98"/>
      <c r="E68" s="576"/>
      <c r="F68" s="576"/>
      <c r="G68" s="576"/>
      <c r="H68" s="576"/>
      <c r="I68" s="576"/>
      <c r="J68" s="576"/>
      <c r="K68" s="576"/>
      <c r="L68" s="576"/>
      <c r="M68" s="576"/>
      <c r="N68" s="576"/>
      <c r="O68" s="576"/>
      <c r="P68" s="576"/>
      <c r="Q68" s="576"/>
      <c r="R68" s="576"/>
      <c r="S68" s="576"/>
      <c r="T68" s="576"/>
      <c r="U68" s="576"/>
      <c r="V68" s="576"/>
      <c r="W68" s="576"/>
      <c r="X68" s="576"/>
      <c r="Y68" s="98"/>
      <c r="Z68" s="98"/>
      <c r="AA68" s="98"/>
      <c r="AB68" s="98"/>
      <c r="AC68" s="98"/>
      <c r="AD68" s="98"/>
      <c r="AE68" s="576"/>
      <c r="AF68" s="576"/>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7"/>
    </row>
    <row r="69" spans="1:55" x14ac:dyDescent="0.2">
      <c r="A69" s="576"/>
      <c r="B69" s="98"/>
      <c r="C69" s="98"/>
      <c r="D69" s="98"/>
      <c r="E69" s="576"/>
      <c r="F69" s="576"/>
      <c r="G69" s="576"/>
      <c r="H69" s="576"/>
      <c r="I69" s="576"/>
      <c r="J69" s="576"/>
      <c r="K69" s="576"/>
      <c r="L69" s="576"/>
      <c r="M69" s="576"/>
      <c r="N69" s="576"/>
      <c r="O69" s="576"/>
      <c r="P69" s="576"/>
      <c r="Q69" s="576"/>
      <c r="R69" s="576"/>
      <c r="S69" s="576"/>
      <c r="T69" s="576"/>
      <c r="U69" s="576"/>
      <c r="V69" s="576"/>
      <c r="W69" s="576"/>
      <c r="X69" s="576"/>
      <c r="Y69" s="98"/>
      <c r="Z69" s="98"/>
      <c r="AA69" s="98"/>
      <c r="AB69" s="98"/>
      <c r="AC69" s="98"/>
      <c r="AD69" s="98"/>
      <c r="AE69" s="576"/>
      <c r="AF69" s="576"/>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7"/>
    </row>
    <row r="70" spans="1:55" x14ac:dyDescent="0.2">
      <c r="A70" s="576"/>
      <c r="B70" s="98"/>
      <c r="C70" s="98"/>
      <c r="D70" s="98"/>
      <c r="E70" s="576"/>
      <c r="F70" s="576"/>
      <c r="G70" s="576"/>
      <c r="H70" s="576"/>
      <c r="I70" s="576"/>
      <c r="J70" s="576"/>
      <c r="K70" s="576"/>
      <c r="L70" s="576"/>
      <c r="M70" s="576"/>
      <c r="N70" s="576"/>
      <c r="O70" s="576"/>
      <c r="P70" s="576"/>
      <c r="Q70" s="576"/>
      <c r="R70" s="576"/>
      <c r="S70" s="576"/>
      <c r="T70" s="576"/>
      <c r="U70" s="576"/>
      <c r="V70" s="576"/>
      <c r="W70" s="576"/>
      <c r="X70" s="576"/>
      <c r="Y70" s="98"/>
      <c r="Z70" s="98"/>
      <c r="AA70" s="98"/>
      <c r="AB70" s="98"/>
      <c r="AC70" s="98"/>
      <c r="AD70" s="98"/>
      <c r="AE70" s="576"/>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7"/>
    </row>
    <row r="71" spans="1:55" x14ac:dyDescent="0.2">
      <c r="A71" s="576"/>
      <c r="B71" s="98"/>
      <c r="C71" s="98"/>
      <c r="D71" s="98"/>
      <c r="E71" s="576"/>
      <c r="F71" s="576"/>
      <c r="G71" s="576"/>
      <c r="H71" s="576"/>
      <c r="I71" s="576"/>
      <c r="J71" s="576"/>
      <c r="K71" s="576"/>
      <c r="L71" s="576"/>
      <c r="M71" s="576"/>
      <c r="N71" s="576"/>
      <c r="O71" s="576"/>
      <c r="P71" s="576"/>
      <c r="Q71" s="576"/>
      <c r="R71" s="576"/>
      <c r="S71" s="576"/>
      <c r="T71" s="576"/>
      <c r="U71" s="576"/>
      <c r="V71" s="576"/>
      <c r="W71" s="576"/>
      <c r="X71" s="576"/>
      <c r="Y71" s="98"/>
      <c r="Z71" s="98"/>
      <c r="AA71" s="98"/>
      <c r="AB71" s="98"/>
      <c r="AC71" s="98"/>
      <c r="AD71" s="98"/>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7"/>
    </row>
    <row r="72" spans="1:55" x14ac:dyDescent="0.2">
      <c r="A72" s="576"/>
      <c r="B72" s="98"/>
      <c r="C72" s="98"/>
      <c r="D72" s="98"/>
      <c r="E72" s="576"/>
      <c r="F72" s="576"/>
      <c r="G72" s="576"/>
      <c r="H72" s="576"/>
      <c r="I72" s="576"/>
      <c r="J72" s="576"/>
      <c r="K72" s="576"/>
      <c r="L72" s="576"/>
      <c r="M72" s="576"/>
      <c r="N72" s="576"/>
      <c r="O72" s="576"/>
      <c r="P72" s="576"/>
      <c r="Q72" s="576"/>
      <c r="R72" s="576"/>
      <c r="S72" s="576"/>
      <c r="T72" s="576"/>
      <c r="U72" s="576"/>
      <c r="V72" s="576"/>
      <c r="W72" s="576"/>
      <c r="X72" s="576"/>
      <c r="Y72" s="98"/>
      <c r="Z72" s="98"/>
      <c r="AA72" s="98"/>
      <c r="AB72" s="98"/>
      <c r="AC72" s="98"/>
      <c r="AD72" s="98"/>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7"/>
    </row>
    <row r="73" spans="1:55" x14ac:dyDescent="0.2">
      <c r="A73" s="576"/>
      <c r="B73" s="98"/>
      <c r="C73" s="98"/>
      <c r="D73" s="98"/>
      <c r="E73" s="576"/>
      <c r="F73" s="576"/>
      <c r="G73" s="576"/>
      <c r="H73" s="576"/>
      <c r="I73" s="576"/>
      <c r="J73" s="576"/>
      <c r="K73" s="576"/>
      <c r="L73" s="576"/>
      <c r="M73" s="576"/>
      <c r="N73" s="576"/>
      <c r="O73" s="576"/>
      <c r="P73" s="576"/>
      <c r="Q73" s="576"/>
      <c r="R73" s="576"/>
      <c r="S73" s="576"/>
      <c r="T73" s="576"/>
      <c r="U73" s="576"/>
      <c r="V73" s="576"/>
      <c r="W73" s="576"/>
      <c r="X73" s="576"/>
      <c r="Y73" s="98"/>
      <c r="Z73" s="98"/>
      <c r="AA73" s="98"/>
      <c r="AB73" s="98"/>
      <c r="AC73" s="98"/>
      <c r="AD73" s="98"/>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7"/>
    </row>
    <row r="74" spans="1:55" x14ac:dyDescent="0.2">
      <c r="A74" s="576"/>
      <c r="B74" s="98"/>
      <c r="C74" s="98"/>
      <c r="D74" s="98"/>
      <c r="E74" s="576"/>
      <c r="F74" s="576"/>
      <c r="G74" s="576"/>
      <c r="H74" s="576"/>
      <c r="I74" s="576"/>
      <c r="J74" s="576"/>
      <c r="K74" s="576"/>
      <c r="L74" s="576"/>
      <c r="M74" s="576"/>
      <c r="N74" s="576"/>
      <c r="O74" s="576"/>
      <c r="P74" s="576"/>
      <c r="Q74" s="576"/>
      <c r="R74" s="576"/>
      <c r="S74" s="576"/>
      <c r="T74" s="576"/>
      <c r="U74" s="576"/>
      <c r="V74" s="576"/>
      <c r="W74" s="576"/>
      <c r="X74" s="576"/>
      <c r="Y74" s="98"/>
      <c r="Z74" s="98"/>
      <c r="AA74" s="98"/>
      <c r="AB74" s="98"/>
      <c r="AC74" s="98"/>
      <c r="AD74" s="98"/>
      <c r="AE74" s="576"/>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7"/>
    </row>
    <row r="75" spans="1:55" x14ac:dyDescent="0.2">
      <c r="A75" s="576"/>
      <c r="B75" s="98"/>
      <c r="C75" s="98"/>
      <c r="D75" s="98"/>
      <c r="E75" s="576"/>
      <c r="F75" s="576"/>
      <c r="G75" s="576"/>
      <c r="H75" s="576"/>
      <c r="I75" s="576"/>
      <c r="J75" s="576"/>
      <c r="K75" s="576"/>
      <c r="L75" s="576"/>
      <c r="M75" s="576"/>
      <c r="N75" s="576"/>
      <c r="O75" s="576"/>
      <c r="P75" s="576"/>
      <c r="Q75" s="576"/>
      <c r="R75" s="576"/>
      <c r="S75" s="576"/>
      <c r="T75" s="576"/>
      <c r="U75" s="576"/>
      <c r="V75" s="576"/>
      <c r="W75" s="576"/>
      <c r="X75" s="576"/>
      <c r="Y75" s="98"/>
      <c r="Z75" s="98"/>
      <c r="AA75" s="98"/>
      <c r="AB75" s="98"/>
      <c r="AC75" s="98"/>
      <c r="AD75" s="98"/>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7"/>
    </row>
    <row r="76" spans="1:55" x14ac:dyDescent="0.2">
      <c r="A76" s="576"/>
      <c r="B76" s="98"/>
      <c r="C76" s="98"/>
      <c r="D76" s="98"/>
      <c r="E76" s="576"/>
      <c r="F76" s="576"/>
      <c r="G76" s="576"/>
      <c r="H76" s="576"/>
      <c r="I76" s="576"/>
      <c r="J76" s="576"/>
      <c r="K76" s="576"/>
      <c r="L76" s="576"/>
      <c r="M76" s="576"/>
      <c r="N76" s="576"/>
      <c r="O76" s="576"/>
      <c r="P76" s="576"/>
      <c r="Q76" s="576"/>
      <c r="R76" s="576"/>
      <c r="S76" s="576"/>
      <c r="T76" s="576"/>
      <c r="U76" s="576"/>
      <c r="V76" s="576"/>
      <c r="W76" s="576"/>
      <c r="X76" s="576"/>
      <c r="Y76" s="98"/>
      <c r="Z76" s="98"/>
      <c r="AA76" s="98"/>
      <c r="AB76" s="98"/>
      <c r="AC76" s="98"/>
      <c r="AD76" s="98"/>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7"/>
    </row>
    <row r="77" spans="1:55" x14ac:dyDescent="0.2">
      <c r="A77" s="576"/>
      <c r="B77" s="98"/>
      <c r="C77" s="98"/>
      <c r="D77" s="98"/>
      <c r="E77" s="576"/>
      <c r="F77" s="576"/>
      <c r="G77" s="576"/>
      <c r="H77" s="576"/>
      <c r="I77" s="576"/>
      <c r="J77" s="576"/>
      <c r="K77" s="576"/>
      <c r="L77" s="576"/>
      <c r="M77" s="576"/>
      <c r="N77" s="576"/>
      <c r="O77" s="576"/>
      <c r="P77" s="576"/>
      <c r="Q77" s="576"/>
      <c r="R77" s="576"/>
      <c r="S77" s="576"/>
      <c r="T77" s="576"/>
      <c r="U77" s="576"/>
      <c r="V77" s="576"/>
      <c r="W77" s="576"/>
      <c r="X77" s="576"/>
      <c r="Y77" s="98"/>
      <c r="Z77" s="98"/>
      <c r="AA77" s="98"/>
      <c r="AB77" s="98"/>
      <c r="AC77" s="98"/>
      <c r="AD77" s="98"/>
      <c r="AE77" s="576"/>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7"/>
    </row>
    <row r="78" spans="1:55" x14ac:dyDescent="0.2">
      <c r="A78" s="576"/>
      <c r="B78" s="98"/>
      <c r="C78" s="98"/>
      <c r="D78" s="98"/>
      <c r="E78" s="576"/>
      <c r="F78" s="576"/>
      <c r="G78" s="576"/>
      <c r="H78" s="576"/>
      <c r="I78" s="576"/>
      <c r="J78" s="576"/>
      <c r="K78" s="576"/>
      <c r="L78" s="576"/>
      <c r="M78" s="576"/>
      <c r="N78" s="576"/>
      <c r="O78" s="576"/>
      <c r="P78" s="576"/>
      <c r="Q78" s="576"/>
      <c r="R78" s="576"/>
      <c r="S78" s="576"/>
      <c r="T78" s="576"/>
      <c r="U78" s="576"/>
      <c r="V78" s="576"/>
      <c r="W78" s="576"/>
      <c r="X78" s="576"/>
      <c r="Y78" s="98"/>
      <c r="Z78" s="98"/>
      <c r="AA78" s="98"/>
      <c r="AB78" s="98"/>
      <c r="AC78" s="98"/>
      <c r="AD78" s="98"/>
      <c r="AE78" s="576"/>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7"/>
    </row>
    <row r="79" spans="1:55" x14ac:dyDescent="0.2">
      <c r="A79" s="576"/>
      <c r="B79" s="98"/>
      <c r="C79" s="98"/>
      <c r="D79" s="98"/>
      <c r="E79" s="576"/>
      <c r="F79" s="576"/>
      <c r="G79" s="576"/>
      <c r="H79" s="576"/>
      <c r="I79" s="576"/>
      <c r="J79" s="576"/>
      <c r="K79" s="576"/>
      <c r="L79" s="576"/>
      <c r="M79" s="576"/>
      <c r="N79" s="576"/>
      <c r="O79" s="576"/>
      <c r="P79" s="576"/>
      <c r="Q79" s="576"/>
      <c r="R79" s="576"/>
      <c r="S79" s="576"/>
      <c r="T79" s="576"/>
      <c r="U79" s="576"/>
      <c r="V79" s="576"/>
      <c r="W79" s="576"/>
      <c r="X79" s="576"/>
      <c r="Y79" s="98"/>
      <c r="Z79" s="98"/>
      <c r="AA79" s="98"/>
      <c r="AB79" s="98"/>
      <c r="AC79" s="98"/>
      <c r="AD79" s="98"/>
      <c r="AE79" s="576"/>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7"/>
    </row>
    <row r="80" spans="1:55" x14ac:dyDescent="0.2">
      <c r="A80" s="576"/>
      <c r="B80" s="98"/>
      <c r="C80" s="98"/>
      <c r="D80" s="98"/>
      <c r="E80" s="576"/>
      <c r="F80" s="576"/>
      <c r="G80" s="576"/>
      <c r="H80" s="576"/>
      <c r="I80" s="576"/>
      <c r="J80" s="576"/>
      <c r="K80" s="576"/>
      <c r="L80" s="576"/>
      <c r="M80" s="576"/>
      <c r="N80" s="576"/>
      <c r="O80" s="576"/>
      <c r="P80" s="576"/>
      <c r="Q80" s="576"/>
      <c r="R80" s="576"/>
      <c r="S80" s="576"/>
      <c r="T80" s="576"/>
      <c r="U80" s="576"/>
      <c r="V80" s="576"/>
      <c r="W80" s="576"/>
      <c r="X80" s="576"/>
      <c r="Y80" s="98"/>
      <c r="Z80" s="98"/>
      <c r="AA80" s="98"/>
      <c r="AB80" s="98"/>
      <c r="AC80" s="98"/>
      <c r="AD80" s="98"/>
      <c r="AE80" s="576"/>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7"/>
    </row>
    <row r="81" spans="1:55" x14ac:dyDescent="0.2">
      <c r="A81" s="576"/>
      <c r="B81" s="98"/>
      <c r="C81" s="98"/>
      <c r="D81" s="98"/>
      <c r="E81" s="576"/>
      <c r="F81" s="576"/>
      <c r="G81" s="576"/>
      <c r="H81" s="576"/>
      <c r="I81" s="576"/>
      <c r="J81" s="576"/>
      <c r="K81" s="576"/>
      <c r="L81" s="576"/>
      <c r="M81" s="576"/>
      <c r="N81" s="576"/>
      <c r="O81" s="576"/>
      <c r="P81" s="576"/>
      <c r="Q81" s="576"/>
      <c r="R81" s="576"/>
      <c r="S81" s="576"/>
      <c r="T81" s="576"/>
      <c r="U81" s="576"/>
      <c r="V81" s="576"/>
      <c r="W81" s="576"/>
      <c r="X81" s="576"/>
      <c r="Y81" s="98"/>
      <c r="Z81" s="98"/>
      <c r="AA81" s="98"/>
      <c r="AB81" s="98"/>
      <c r="AC81" s="98"/>
      <c r="AD81" s="98"/>
      <c r="AE81" s="576"/>
      <c r="AF81" s="576"/>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7"/>
    </row>
    <row r="82" spans="1:55" x14ac:dyDescent="0.2">
      <c r="A82" s="576"/>
      <c r="B82" s="98"/>
      <c r="C82" s="98"/>
      <c r="D82" s="98"/>
      <c r="E82" s="576"/>
      <c r="F82" s="576"/>
      <c r="G82" s="576"/>
      <c r="H82" s="576"/>
      <c r="I82" s="576"/>
      <c r="J82" s="576"/>
      <c r="K82" s="576"/>
      <c r="L82" s="576"/>
      <c r="M82" s="576"/>
      <c r="N82" s="576"/>
      <c r="O82" s="576"/>
      <c r="P82" s="576"/>
      <c r="Q82" s="576"/>
      <c r="R82" s="576"/>
      <c r="S82" s="576"/>
      <c r="T82" s="576"/>
      <c r="U82" s="576"/>
      <c r="V82" s="576"/>
      <c r="W82" s="576"/>
      <c r="X82" s="576"/>
      <c r="Y82" s="98"/>
      <c r="Z82" s="98"/>
      <c r="AA82" s="98"/>
      <c r="AB82" s="98"/>
      <c r="AC82" s="98"/>
      <c r="AD82" s="98"/>
      <c r="AE82" s="576"/>
      <c r="AF82" s="576"/>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7"/>
    </row>
    <row r="83" spans="1:55" x14ac:dyDescent="0.2">
      <c r="A83" s="576"/>
      <c r="B83" s="98"/>
      <c r="C83" s="98"/>
      <c r="D83" s="98"/>
      <c r="E83" s="576"/>
      <c r="F83" s="576"/>
      <c r="G83" s="576"/>
      <c r="H83" s="576"/>
      <c r="I83" s="576"/>
      <c r="J83" s="576"/>
      <c r="K83" s="576"/>
      <c r="L83" s="576"/>
      <c r="M83" s="576"/>
      <c r="N83" s="576"/>
      <c r="O83" s="576"/>
      <c r="P83" s="576"/>
      <c r="Q83" s="576"/>
      <c r="R83" s="576"/>
      <c r="S83" s="576"/>
      <c r="T83" s="576"/>
      <c r="U83" s="576"/>
      <c r="V83" s="576"/>
      <c r="W83" s="576"/>
      <c r="X83" s="576"/>
      <c r="Y83" s="98"/>
      <c r="Z83" s="98"/>
      <c r="AA83" s="98"/>
      <c r="AB83" s="98"/>
      <c r="AC83" s="98"/>
      <c r="AD83" s="98"/>
      <c r="AE83" s="576"/>
      <c r="AF83" s="576"/>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7"/>
    </row>
    <row r="84" spans="1:55" x14ac:dyDescent="0.2">
      <c r="A84" s="576"/>
      <c r="B84" s="98"/>
      <c r="C84" s="98"/>
      <c r="D84" s="98"/>
      <c r="E84" s="576"/>
      <c r="F84" s="576"/>
      <c r="G84" s="576"/>
      <c r="H84" s="576"/>
      <c r="I84" s="576"/>
      <c r="J84" s="576"/>
      <c r="K84" s="576"/>
      <c r="L84" s="576"/>
      <c r="M84" s="576"/>
      <c r="N84" s="576"/>
      <c r="O84" s="576"/>
      <c r="P84" s="576"/>
      <c r="Q84" s="576"/>
      <c r="R84" s="576"/>
      <c r="S84" s="576"/>
      <c r="T84" s="576"/>
      <c r="U84" s="576"/>
      <c r="V84" s="576"/>
      <c r="W84" s="576"/>
      <c r="X84" s="576"/>
      <c r="Y84" s="98"/>
      <c r="Z84" s="98"/>
      <c r="AA84" s="98"/>
      <c r="AB84" s="98"/>
      <c r="AC84" s="98"/>
      <c r="AD84" s="98"/>
      <c r="AE84" s="576"/>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7"/>
    </row>
    <row r="85" spans="1:55" x14ac:dyDescent="0.2">
      <c r="A85" s="576"/>
      <c r="B85" s="98"/>
      <c r="C85" s="98"/>
      <c r="D85" s="98"/>
      <c r="E85" s="576"/>
      <c r="F85" s="576"/>
      <c r="G85" s="576"/>
      <c r="H85" s="576"/>
      <c r="I85" s="576"/>
      <c r="J85" s="576"/>
      <c r="K85" s="576"/>
      <c r="L85" s="576"/>
      <c r="M85" s="576"/>
      <c r="N85" s="576"/>
      <c r="O85" s="576"/>
      <c r="P85" s="576"/>
      <c r="Q85" s="576"/>
      <c r="R85" s="576"/>
      <c r="S85" s="576"/>
      <c r="T85" s="576"/>
      <c r="U85" s="576"/>
      <c r="V85" s="576"/>
      <c r="W85" s="576"/>
      <c r="X85" s="576"/>
      <c r="Y85" s="98"/>
      <c r="Z85" s="98"/>
      <c r="AA85" s="98"/>
      <c r="AB85" s="98"/>
      <c r="AC85" s="98"/>
      <c r="AD85" s="98"/>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7"/>
    </row>
    <row r="86" spans="1:55" x14ac:dyDescent="0.2">
      <c r="A86" s="576"/>
      <c r="B86" s="98"/>
      <c r="C86" s="98"/>
      <c r="D86" s="98"/>
      <c r="E86" s="576"/>
      <c r="F86" s="576"/>
      <c r="G86" s="576"/>
      <c r="H86" s="576"/>
      <c r="I86" s="576"/>
      <c r="J86" s="576"/>
      <c r="K86" s="576"/>
      <c r="L86" s="576"/>
      <c r="M86" s="576"/>
      <c r="N86" s="576"/>
      <c r="O86" s="576"/>
      <c r="P86" s="576"/>
      <c r="Q86" s="576"/>
      <c r="R86" s="576"/>
      <c r="S86" s="576"/>
      <c r="T86" s="576"/>
      <c r="U86" s="576"/>
      <c r="V86" s="576"/>
      <c r="W86" s="576"/>
      <c r="X86" s="576"/>
      <c r="Y86" s="98"/>
      <c r="Z86" s="98"/>
      <c r="AA86" s="98"/>
      <c r="AB86" s="98"/>
      <c r="AC86" s="98"/>
      <c r="AD86" s="98"/>
      <c r="AE86" s="576"/>
      <c r="AF86" s="576"/>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7"/>
    </row>
    <row r="87" spans="1:55" x14ac:dyDescent="0.2">
      <c r="A87" s="576"/>
      <c r="B87" s="98"/>
      <c r="C87" s="98"/>
      <c r="D87" s="98"/>
      <c r="E87" s="576"/>
      <c r="F87" s="576"/>
      <c r="G87" s="576"/>
      <c r="H87" s="576"/>
      <c r="I87" s="576"/>
      <c r="J87" s="576"/>
      <c r="K87" s="576"/>
      <c r="L87" s="576"/>
      <c r="M87" s="576"/>
      <c r="N87" s="576"/>
      <c r="O87" s="576"/>
      <c r="P87" s="576"/>
      <c r="Q87" s="576"/>
      <c r="R87" s="576"/>
      <c r="S87" s="576"/>
      <c r="T87" s="576"/>
      <c r="U87" s="576"/>
      <c r="V87" s="576"/>
      <c r="W87" s="576"/>
      <c r="X87" s="576"/>
      <c r="Y87" s="98"/>
      <c r="Z87" s="98"/>
      <c r="AA87" s="98"/>
      <c r="AB87" s="98"/>
      <c r="AC87" s="98"/>
      <c r="AD87" s="98"/>
      <c r="AE87" s="576"/>
      <c r="AF87" s="576"/>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7"/>
    </row>
    <row r="88" spans="1:55" x14ac:dyDescent="0.2">
      <c r="A88" s="576"/>
      <c r="B88" s="98"/>
      <c r="C88" s="98"/>
      <c r="D88" s="98"/>
      <c r="E88" s="576"/>
      <c r="F88" s="576"/>
      <c r="G88" s="576"/>
      <c r="H88" s="576"/>
      <c r="I88" s="576"/>
      <c r="J88" s="576"/>
      <c r="K88" s="576"/>
      <c r="L88" s="576"/>
      <c r="M88" s="576"/>
      <c r="N88" s="576"/>
      <c r="O88" s="576"/>
      <c r="P88" s="576"/>
      <c r="Q88" s="576"/>
      <c r="R88" s="576"/>
      <c r="S88" s="576"/>
      <c r="T88" s="576"/>
      <c r="U88" s="576"/>
      <c r="V88" s="576"/>
      <c r="W88" s="576"/>
      <c r="X88" s="576"/>
      <c r="Y88" s="98"/>
      <c r="Z88" s="98"/>
      <c r="AA88" s="98"/>
      <c r="AB88" s="98"/>
      <c r="AC88" s="98"/>
      <c r="AD88" s="98"/>
      <c r="AE88" s="576"/>
      <c r="AF88" s="576"/>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7"/>
    </row>
    <row r="89" spans="1:55" x14ac:dyDescent="0.2">
      <c r="A89" s="576"/>
      <c r="B89" s="98"/>
      <c r="C89" s="98"/>
      <c r="D89" s="98"/>
      <c r="E89" s="576"/>
      <c r="F89" s="576"/>
      <c r="G89" s="576"/>
      <c r="H89" s="576"/>
      <c r="I89" s="576"/>
      <c r="J89" s="576"/>
      <c r="K89" s="576"/>
      <c r="L89" s="576"/>
      <c r="M89" s="576"/>
      <c r="N89" s="576"/>
      <c r="O89" s="576"/>
      <c r="P89" s="576"/>
      <c r="Q89" s="576"/>
      <c r="R89" s="576"/>
      <c r="S89" s="576"/>
      <c r="T89" s="576"/>
      <c r="U89" s="576"/>
      <c r="V89" s="576"/>
      <c r="W89" s="576"/>
      <c r="X89" s="576"/>
      <c r="Y89" s="98"/>
      <c r="Z89" s="98"/>
      <c r="AA89" s="98"/>
      <c r="AB89" s="98"/>
      <c r="AC89" s="98"/>
      <c r="AD89" s="98"/>
      <c r="AE89" s="576"/>
      <c r="AF89" s="576"/>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7"/>
    </row>
    <row r="90" spans="1:55" x14ac:dyDescent="0.2">
      <c r="A90" s="576"/>
      <c r="B90" s="98"/>
      <c r="C90" s="98"/>
      <c r="D90" s="98"/>
      <c r="E90" s="576"/>
      <c r="F90" s="576"/>
      <c r="G90" s="576"/>
      <c r="H90" s="576"/>
      <c r="I90" s="576"/>
      <c r="J90" s="576"/>
      <c r="K90" s="576"/>
      <c r="L90" s="576"/>
      <c r="M90" s="576"/>
      <c r="N90" s="576"/>
      <c r="O90" s="576"/>
      <c r="P90" s="576"/>
      <c r="Q90" s="576"/>
      <c r="R90" s="576"/>
      <c r="S90" s="576"/>
      <c r="T90" s="576"/>
      <c r="U90" s="576"/>
      <c r="V90" s="576"/>
      <c r="W90" s="576"/>
      <c r="X90" s="576"/>
      <c r="Y90" s="98"/>
      <c r="Z90" s="98"/>
      <c r="AA90" s="98"/>
      <c r="AB90" s="98"/>
      <c r="AC90" s="98"/>
      <c r="AD90" s="98"/>
      <c r="AE90" s="576"/>
      <c r="AF90" s="576"/>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7"/>
    </row>
    <row r="91" spans="1:55" x14ac:dyDescent="0.2">
      <c r="A91" s="576"/>
      <c r="B91" s="98"/>
      <c r="C91" s="98"/>
      <c r="D91" s="98"/>
      <c r="E91" s="576"/>
      <c r="F91" s="576"/>
      <c r="G91" s="576"/>
      <c r="H91" s="576"/>
      <c r="I91" s="576"/>
      <c r="J91" s="576"/>
      <c r="K91" s="576"/>
      <c r="L91" s="576"/>
      <c r="M91" s="576"/>
      <c r="N91" s="576"/>
      <c r="O91" s="576"/>
      <c r="P91" s="576"/>
      <c r="Q91" s="576"/>
      <c r="R91" s="576"/>
      <c r="S91" s="576"/>
      <c r="T91" s="576"/>
      <c r="U91" s="576"/>
      <c r="V91" s="576"/>
      <c r="W91" s="576"/>
      <c r="X91" s="576"/>
      <c r="Y91" s="98"/>
      <c r="Z91" s="98"/>
      <c r="AA91" s="98"/>
      <c r="AB91" s="98"/>
      <c r="AC91" s="98"/>
      <c r="AD91" s="98"/>
      <c r="AE91" s="576"/>
      <c r="AF91" s="576"/>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7"/>
    </row>
    <row r="92" spans="1:55" x14ac:dyDescent="0.2">
      <c r="A92" s="576"/>
      <c r="B92" s="98"/>
      <c r="C92" s="98"/>
      <c r="D92" s="98"/>
      <c r="E92" s="576"/>
      <c r="F92" s="576"/>
      <c r="G92" s="576"/>
      <c r="H92" s="576"/>
      <c r="I92" s="576"/>
      <c r="J92" s="576"/>
      <c r="K92" s="576"/>
      <c r="L92" s="576"/>
      <c r="M92" s="576"/>
      <c r="N92" s="576"/>
      <c r="O92" s="576"/>
      <c r="P92" s="576"/>
      <c r="Q92" s="576"/>
      <c r="R92" s="576"/>
      <c r="S92" s="576"/>
      <c r="T92" s="576"/>
      <c r="U92" s="576"/>
      <c r="V92" s="576"/>
      <c r="W92" s="576"/>
      <c r="X92" s="576"/>
      <c r="Y92" s="98"/>
      <c r="Z92" s="98"/>
      <c r="AA92" s="98"/>
      <c r="AB92" s="98"/>
      <c r="AC92" s="98"/>
      <c r="AD92" s="98"/>
      <c r="AE92" s="576"/>
      <c r="AF92" s="576"/>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7"/>
    </row>
    <row r="93" spans="1:55" x14ac:dyDescent="0.2">
      <c r="A93" s="576"/>
      <c r="B93" s="98"/>
      <c r="C93" s="98"/>
      <c r="D93" s="98"/>
      <c r="E93" s="576"/>
      <c r="F93" s="576"/>
      <c r="G93" s="576"/>
      <c r="H93" s="576"/>
      <c r="I93" s="576"/>
      <c r="J93" s="576"/>
      <c r="K93" s="576"/>
      <c r="L93" s="576"/>
      <c r="M93" s="576"/>
      <c r="N93" s="576"/>
      <c r="O93" s="576"/>
      <c r="P93" s="576"/>
      <c r="Q93" s="576"/>
      <c r="R93" s="576"/>
      <c r="S93" s="576"/>
      <c r="T93" s="576"/>
      <c r="U93" s="576"/>
      <c r="V93" s="576"/>
      <c r="W93" s="576"/>
      <c r="X93" s="576"/>
      <c r="Y93" s="98"/>
      <c r="Z93" s="98"/>
      <c r="AA93" s="98"/>
      <c r="AB93" s="98"/>
      <c r="AC93" s="98"/>
      <c r="AD93" s="98"/>
      <c r="AE93" s="576"/>
      <c r="AF93" s="576"/>
      <c r="AG93" s="576"/>
      <c r="AH93" s="576"/>
      <c r="AI93" s="576"/>
      <c r="AJ93" s="576"/>
      <c r="AK93" s="576"/>
      <c r="AL93" s="576"/>
      <c r="AM93" s="576"/>
      <c r="AN93" s="576"/>
      <c r="AO93" s="576"/>
      <c r="AP93" s="576"/>
      <c r="AQ93" s="576"/>
      <c r="AR93" s="576"/>
      <c r="AS93" s="576"/>
      <c r="AT93" s="576"/>
      <c r="AU93" s="576"/>
      <c r="AV93" s="576"/>
      <c r="AW93" s="576"/>
      <c r="AX93" s="576"/>
      <c r="AY93" s="576"/>
      <c r="AZ93" s="576"/>
      <c r="BA93" s="576"/>
      <c r="BB93" s="576"/>
      <c r="BC93" s="577"/>
    </row>
    <row r="94" spans="1:55" x14ac:dyDescent="0.2">
      <c r="A94" s="576"/>
      <c r="B94" s="98"/>
      <c r="C94" s="98"/>
      <c r="D94" s="98"/>
      <c r="E94" s="576"/>
      <c r="F94" s="576"/>
      <c r="G94" s="576"/>
      <c r="H94" s="576"/>
      <c r="I94" s="576"/>
      <c r="J94" s="576"/>
      <c r="K94" s="576"/>
      <c r="L94" s="576"/>
      <c r="M94" s="576"/>
      <c r="N94" s="576"/>
      <c r="O94" s="576"/>
      <c r="P94" s="576"/>
      <c r="Q94" s="576"/>
      <c r="R94" s="576"/>
      <c r="S94" s="576"/>
      <c r="T94" s="576"/>
      <c r="U94" s="576"/>
      <c r="V94" s="576"/>
      <c r="W94" s="576"/>
      <c r="X94" s="576"/>
      <c r="Y94" s="98"/>
      <c r="Z94" s="98"/>
      <c r="AA94" s="98"/>
      <c r="AB94" s="98"/>
      <c r="AC94" s="98"/>
      <c r="AD94" s="98"/>
      <c r="AE94" s="576"/>
      <c r="AF94" s="576"/>
      <c r="AG94" s="576"/>
      <c r="AH94" s="576"/>
      <c r="AI94" s="576"/>
      <c r="AJ94" s="576"/>
      <c r="AK94" s="576"/>
      <c r="AL94" s="576"/>
      <c r="AM94" s="576"/>
      <c r="AN94" s="576"/>
      <c r="AO94" s="576"/>
      <c r="AP94" s="576"/>
      <c r="AQ94" s="576"/>
      <c r="AR94" s="576"/>
      <c r="AS94" s="576"/>
      <c r="AT94" s="576"/>
      <c r="AU94" s="576"/>
      <c r="AV94" s="576"/>
      <c r="AW94" s="576"/>
      <c r="AX94" s="576"/>
      <c r="AY94" s="576"/>
      <c r="AZ94" s="576"/>
      <c r="BA94" s="576"/>
      <c r="BB94" s="576"/>
      <c r="BC94" s="577"/>
    </row>
    <row r="95" spans="1:55" x14ac:dyDescent="0.2">
      <c r="A95" s="576"/>
      <c r="B95" s="98"/>
      <c r="C95" s="98"/>
      <c r="D95" s="98"/>
      <c r="E95" s="576"/>
      <c r="F95" s="576"/>
      <c r="G95" s="576"/>
      <c r="H95" s="576"/>
      <c r="I95" s="576"/>
      <c r="J95" s="576"/>
      <c r="K95" s="576"/>
      <c r="L95" s="576"/>
      <c r="M95" s="576"/>
      <c r="N95" s="576"/>
      <c r="O95" s="576"/>
      <c r="P95" s="576"/>
      <c r="Q95" s="576"/>
      <c r="R95" s="576"/>
      <c r="S95" s="576"/>
      <c r="T95" s="576"/>
      <c r="U95" s="576"/>
      <c r="V95" s="576"/>
      <c r="W95" s="576"/>
      <c r="X95" s="576"/>
      <c r="Y95" s="98"/>
      <c r="Z95" s="98"/>
      <c r="AA95" s="98"/>
      <c r="AB95" s="98"/>
      <c r="AC95" s="98"/>
      <c r="AD95" s="98"/>
      <c r="AE95" s="576"/>
      <c r="AF95" s="576"/>
      <c r="AG95" s="576"/>
      <c r="AH95" s="576"/>
      <c r="AI95" s="576"/>
      <c r="AJ95" s="576"/>
      <c r="AK95" s="576"/>
      <c r="AL95" s="576"/>
      <c r="AM95" s="576"/>
      <c r="AN95" s="576"/>
      <c r="AO95" s="576"/>
      <c r="AP95" s="576"/>
      <c r="AQ95" s="576"/>
      <c r="AR95" s="576"/>
      <c r="AS95" s="576"/>
      <c r="AT95" s="576"/>
      <c r="AU95" s="576"/>
      <c r="AV95" s="576"/>
      <c r="AW95" s="576"/>
      <c r="AX95" s="576"/>
      <c r="AY95" s="576"/>
      <c r="AZ95" s="576"/>
      <c r="BA95" s="576"/>
      <c r="BB95" s="576"/>
      <c r="BC95" s="577"/>
    </row>
    <row r="96" spans="1:55" x14ac:dyDescent="0.2">
      <c r="A96" s="576"/>
      <c r="B96" s="98"/>
      <c r="C96" s="98"/>
      <c r="D96" s="98"/>
      <c r="E96" s="576"/>
      <c r="F96" s="576"/>
      <c r="G96" s="576"/>
      <c r="H96" s="576"/>
      <c r="I96" s="576"/>
      <c r="J96" s="576"/>
      <c r="K96" s="576"/>
      <c r="L96" s="576"/>
      <c r="M96" s="576"/>
      <c r="N96" s="576"/>
      <c r="O96" s="576"/>
      <c r="P96" s="576"/>
      <c r="Q96" s="576"/>
      <c r="R96" s="576"/>
      <c r="S96" s="576"/>
      <c r="T96" s="576"/>
      <c r="U96" s="576"/>
      <c r="V96" s="576"/>
      <c r="W96" s="576"/>
      <c r="X96" s="576"/>
      <c r="Y96" s="98"/>
      <c r="Z96" s="98"/>
      <c r="AA96" s="98"/>
      <c r="AB96" s="98"/>
      <c r="AC96" s="98"/>
      <c r="AD96" s="98"/>
      <c r="AE96" s="576"/>
      <c r="AF96" s="576"/>
      <c r="AG96" s="576"/>
      <c r="AH96" s="576"/>
      <c r="AI96" s="576"/>
      <c r="AJ96" s="576"/>
      <c r="AK96" s="576"/>
      <c r="AL96" s="576"/>
      <c r="AM96" s="576"/>
      <c r="AN96" s="576"/>
      <c r="AO96" s="576"/>
      <c r="AP96" s="576"/>
      <c r="AQ96" s="576"/>
      <c r="AR96" s="576"/>
      <c r="AS96" s="576"/>
      <c r="AT96" s="576"/>
      <c r="AU96" s="576"/>
      <c r="AV96" s="576"/>
      <c r="AW96" s="576"/>
      <c r="AX96" s="576"/>
      <c r="AY96" s="576"/>
      <c r="AZ96" s="576"/>
      <c r="BA96" s="576"/>
      <c r="BB96" s="576"/>
      <c r="BC96" s="577"/>
    </row>
    <row r="97" spans="1:55" x14ac:dyDescent="0.2">
      <c r="A97" s="576"/>
      <c r="B97" s="98"/>
      <c r="C97" s="98"/>
      <c r="D97" s="98"/>
      <c r="E97" s="576"/>
      <c r="F97" s="576"/>
      <c r="G97" s="576"/>
      <c r="H97" s="576"/>
      <c r="I97" s="576"/>
      <c r="J97" s="576"/>
      <c r="K97" s="576"/>
      <c r="L97" s="576"/>
      <c r="M97" s="576"/>
      <c r="N97" s="576"/>
      <c r="O97" s="576"/>
      <c r="P97" s="576"/>
      <c r="Q97" s="576"/>
      <c r="R97" s="576"/>
      <c r="S97" s="576"/>
      <c r="T97" s="576"/>
      <c r="U97" s="576"/>
      <c r="V97" s="576"/>
      <c r="W97" s="576"/>
      <c r="X97" s="576"/>
      <c r="Y97" s="98"/>
      <c r="Z97" s="98"/>
      <c r="AA97" s="98"/>
      <c r="AB97" s="98"/>
      <c r="AC97" s="98"/>
      <c r="AD97" s="98"/>
      <c r="AE97" s="576"/>
      <c r="AF97" s="576"/>
      <c r="AG97" s="576"/>
      <c r="AH97" s="576"/>
      <c r="AI97" s="576"/>
      <c r="AJ97" s="576"/>
      <c r="AK97" s="576"/>
      <c r="AL97" s="576"/>
      <c r="AM97" s="576"/>
      <c r="AN97" s="576"/>
      <c r="AO97" s="576"/>
      <c r="AP97" s="576"/>
      <c r="AQ97" s="576"/>
      <c r="AR97" s="576"/>
      <c r="AS97" s="576"/>
      <c r="AT97" s="576"/>
      <c r="AU97" s="576"/>
      <c r="AV97" s="576"/>
      <c r="AW97" s="576"/>
      <c r="AX97" s="576"/>
      <c r="AY97" s="576"/>
      <c r="AZ97" s="576"/>
      <c r="BA97" s="576"/>
      <c r="BB97" s="576"/>
      <c r="BC97" s="577"/>
    </row>
    <row r="98" spans="1:55" x14ac:dyDescent="0.2">
      <c r="A98" s="576"/>
      <c r="B98" s="98"/>
      <c r="C98" s="98"/>
      <c r="D98" s="98"/>
      <c r="E98" s="576"/>
      <c r="F98" s="576"/>
      <c r="G98" s="576"/>
      <c r="H98" s="576"/>
      <c r="I98" s="576"/>
      <c r="J98" s="576"/>
      <c r="K98" s="576"/>
      <c r="L98" s="576"/>
      <c r="M98" s="576"/>
      <c r="N98" s="576"/>
      <c r="O98" s="576"/>
      <c r="P98" s="576"/>
      <c r="Q98" s="576"/>
      <c r="R98" s="576"/>
      <c r="S98" s="576"/>
      <c r="T98" s="576"/>
      <c r="U98" s="576"/>
      <c r="V98" s="576"/>
      <c r="W98" s="576"/>
      <c r="X98" s="576"/>
      <c r="Y98" s="98"/>
      <c r="Z98" s="98"/>
      <c r="AA98" s="98"/>
      <c r="AB98" s="98"/>
      <c r="AC98" s="98"/>
      <c r="AD98" s="98"/>
      <c r="AE98" s="576"/>
      <c r="AF98" s="576"/>
      <c r="AG98" s="576"/>
      <c r="AH98" s="576"/>
      <c r="AI98" s="576"/>
      <c r="AJ98" s="576"/>
      <c r="AK98" s="576"/>
      <c r="AL98" s="576"/>
      <c r="AM98" s="576"/>
      <c r="AN98" s="576"/>
      <c r="AO98" s="576"/>
      <c r="AP98" s="576"/>
      <c r="AQ98" s="576"/>
      <c r="AR98" s="576"/>
      <c r="AS98" s="576"/>
      <c r="AT98" s="576"/>
      <c r="AU98" s="576"/>
      <c r="AV98" s="576"/>
      <c r="AW98" s="576"/>
      <c r="AX98" s="576"/>
      <c r="AY98" s="576"/>
      <c r="AZ98" s="576"/>
      <c r="BA98" s="576"/>
      <c r="BB98" s="576"/>
      <c r="BC98" s="577"/>
    </row>
    <row r="99" spans="1:55" x14ac:dyDescent="0.2">
      <c r="A99" s="576"/>
      <c r="B99" s="98"/>
      <c r="C99" s="98"/>
      <c r="D99" s="98"/>
      <c r="E99" s="576"/>
      <c r="F99" s="576"/>
      <c r="G99" s="576"/>
      <c r="H99" s="576"/>
      <c r="I99" s="576"/>
      <c r="J99" s="576"/>
      <c r="K99" s="576"/>
      <c r="L99" s="576"/>
      <c r="M99" s="576"/>
      <c r="N99" s="576"/>
      <c r="O99" s="576"/>
      <c r="P99" s="576"/>
      <c r="Q99" s="576"/>
      <c r="R99" s="576"/>
      <c r="S99" s="576"/>
      <c r="T99" s="576"/>
      <c r="U99" s="576"/>
      <c r="V99" s="576"/>
      <c r="W99" s="576"/>
      <c r="X99" s="576"/>
      <c r="Y99" s="98"/>
      <c r="Z99" s="98"/>
      <c r="AA99" s="98"/>
      <c r="AB99" s="98"/>
      <c r="AC99" s="98"/>
      <c r="AD99" s="98"/>
      <c r="AE99" s="576"/>
      <c r="AF99" s="576"/>
      <c r="AG99" s="576"/>
      <c r="AH99" s="576"/>
      <c r="AI99" s="576"/>
      <c r="AJ99" s="576"/>
      <c r="AK99" s="576"/>
      <c r="AL99" s="576"/>
      <c r="AM99" s="576"/>
      <c r="AN99" s="576"/>
      <c r="AO99" s="576"/>
      <c r="AP99" s="576"/>
      <c r="AQ99" s="576"/>
      <c r="AR99" s="576"/>
      <c r="AS99" s="576"/>
      <c r="AT99" s="576"/>
      <c r="AU99" s="576"/>
      <c r="AV99" s="576"/>
      <c r="AW99" s="576"/>
      <c r="AX99" s="576"/>
      <c r="AY99" s="576"/>
      <c r="AZ99" s="576"/>
      <c r="BA99" s="576"/>
      <c r="BB99" s="576"/>
      <c r="BC99" s="577"/>
    </row>
    <row r="100" spans="1:55" x14ac:dyDescent="0.2">
      <c r="A100" s="576"/>
      <c r="B100" s="98"/>
      <c r="C100" s="98"/>
      <c r="D100" s="98"/>
      <c r="E100" s="576"/>
      <c r="F100" s="576"/>
      <c r="G100" s="576"/>
      <c r="H100" s="576"/>
      <c r="I100" s="576"/>
      <c r="J100" s="576"/>
      <c r="K100" s="576"/>
      <c r="L100" s="576"/>
      <c r="M100" s="576"/>
      <c r="N100" s="576"/>
      <c r="O100" s="576"/>
      <c r="P100" s="576"/>
      <c r="Q100" s="576"/>
      <c r="R100" s="576"/>
      <c r="S100" s="576"/>
      <c r="T100" s="576"/>
      <c r="U100" s="576"/>
      <c r="V100" s="576"/>
      <c r="W100" s="576"/>
      <c r="X100" s="576"/>
      <c r="Y100" s="98"/>
      <c r="Z100" s="98"/>
      <c r="AA100" s="98"/>
      <c r="AB100" s="98"/>
      <c r="AC100" s="98"/>
      <c r="AD100" s="98"/>
      <c r="AE100" s="576"/>
      <c r="AF100" s="576"/>
      <c r="AG100" s="576"/>
      <c r="AH100" s="576"/>
      <c r="AI100" s="576"/>
      <c r="AJ100" s="576"/>
      <c r="AK100" s="576"/>
      <c r="AL100" s="576"/>
      <c r="AM100" s="576"/>
      <c r="AN100" s="576"/>
      <c r="AO100" s="576"/>
      <c r="AP100" s="576"/>
      <c r="AQ100" s="576"/>
      <c r="AR100" s="576"/>
      <c r="AS100" s="576"/>
      <c r="AT100" s="576"/>
      <c r="AU100" s="576"/>
      <c r="AV100" s="576"/>
      <c r="AW100" s="576"/>
      <c r="AX100" s="576"/>
      <c r="AY100" s="576"/>
      <c r="AZ100" s="576"/>
      <c r="BA100" s="576"/>
      <c r="BB100" s="576"/>
      <c r="BC100" s="577"/>
    </row>
    <row r="101" spans="1:55" x14ac:dyDescent="0.2">
      <c r="A101" s="576"/>
      <c r="B101" s="98"/>
      <c r="C101" s="98"/>
      <c r="D101" s="98"/>
      <c r="E101" s="576"/>
      <c r="F101" s="576"/>
      <c r="G101" s="576"/>
      <c r="H101" s="576"/>
      <c r="I101" s="576"/>
      <c r="J101" s="576"/>
      <c r="K101" s="576"/>
      <c r="L101" s="576"/>
      <c r="M101" s="576"/>
      <c r="N101" s="576"/>
      <c r="O101" s="576"/>
      <c r="P101" s="576"/>
      <c r="Q101" s="576"/>
      <c r="R101" s="576"/>
      <c r="S101" s="576"/>
      <c r="T101" s="576"/>
      <c r="U101" s="576"/>
      <c r="V101" s="576"/>
      <c r="W101" s="576"/>
      <c r="X101" s="576"/>
      <c r="Y101" s="98"/>
      <c r="Z101" s="98"/>
      <c r="AA101" s="98"/>
      <c r="AB101" s="98"/>
      <c r="AC101" s="98"/>
      <c r="AD101" s="98"/>
      <c r="AE101" s="576"/>
      <c r="AF101" s="576"/>
      <c r="AG101" s="576"/>
      <c r="AH101" s="576"/>
      <c r="AI101" s="576"/>
      <c r="AJ101" s="576"/>
      <c r="AK101" s="576"/>
      <c r="AL101" s="576"/>
      <c r="AM101" s="576"/>
      <c r="AN101" s="576"/>
      <c r="AO101" s="576"/>
      <c r="AP101" s="576"/>
      <c r="AQ101" s="576"/>
      <c r="AR101" s="576"/>
      <c r="AS101" s="576"/>
      <c r="AT101" s="576"/>
      <c r="AU101" s="576"/>
      <c r="AV101" s="576"/>
      <c r="AW101" s="576"/>
      <c r="AX101" s="576"/>
      <c r="AY101" s="576"/>
      <c r="AZ101" s="576"/>
      <c r="BA101" s="576"/>
      <c r="BB101" s="576"/>
      <c r="BC101" s="577"/>
    </row>
    <row r="102" spans="1:55" x14ac:dyDescent="0.2">
      <c r="A102" s="576"/>
      <c r="B102" s="98"/>
      <c r="C102" s="98"/>
      <c r="D102" s="98"/>
      <c r="E102" s="576"/>
      <c r="F102" s="576"/>
      <c r="G102" s="576"/>
      <c r="H102" s="576"/>
      <c r="I102" s="576"/>
      <c r="J102" s="576"/>
      <c r="K102" s="576"/>
      <c r="L102" s="576"/>
      <c r="M102" s="576"/>
      <c r="N102" s="576"/>
      <c r="O102" s="576"/>
      <c r="P102" s="576"/>
      <c r="Q102" s="576"/>
      <c r="R102" s="576"/>
      <c r="S102" s="576"/>
      <c r="T102" s="576"/>
      <c r="U102" s="576"/>
      <c r="V102" s="576"/>
      <c r="W102" s="576"/>
      <c r="X102" s="576"/>
      <c r="Y102" s="98"/>
      <c r="Z102" s="98"/>
      <c r="AA102" s="98"/>
      <c r="AB102" s="98"/>
      <c r="AC102" s="98"/>
      <c r="AD102" s="98"/>
      <c r="AE102" s="576"/>
      <c r="AF102" s="576"/>
      <c r="AG102" s="576"/>
      <c r="AH102" s="576"/>
      <c r="AI102" s="576"/>
      <c r="AJ102" s="576"/>
      <c r="AK102" s="576"/>
      <c r="AL102" s="576"/>
      <c r="AM102" s="576"/>
      <c r="AN102" s="576"/>
      <c r="AO102" s="576"/>
      <c r="AP102" s="576"/>
      <c r="AQ102" s="576"/>
      <c r="AR102" s="576"/>
      <c r="AS102" s="576"/>
      <c r="AT102" s="576"/>
      <c r="AU102" s="576"/>
      <c r="AV102" s="576"/>
      <c r="AW102" s="576"/>
      <c r="AX102" s="576"/>
      <c r="AY102" s="576"/>
      <c r="AZ102" s="576"/>
      <c r="BA102" s="576"/>
      <c r="BB102" s="576"/>
      <c r="BC102" s="577"/>
    </row>
    <row r="103" spans="1:55" x14ac:dyDescent="0.2">
      <c r="A103" s="576"/>
      <c r="B103" s="98"/>
      <c r="C103" s="98"/>
      <c r="D103" s="98"/>
      <c r="E103" s="576"/>
      <c r="F103" s="576"/>
      <c r="G103" s="576"/>
      <c r="H103" s="576"/>
      <c r="I103" s="576"/>
      <c r="J103" s="576"/>
      <c r="K103" s="576"/>
      <c r="L103" s="576"/>
      <c r="M103" s="576"/>
      <c r="N103" s="576"/>
      <c r="O103" s="576"/>
      <c r="P103" s="576"/>
      <c r="Q103" s="576"/>
      <c r="R103" s="576"/>
      <c r="S103" s="576"/>
      <c r="T103" s="576"/>
      <c r="U103" s="576"/>
      <c r="V103" s="576"/>
      <c r="W103" s="576"/>
      <c r="X103" s="576"/>
      <c r="Y103" s="98"/>
      <c r="Z103" s="98"/>
      <c r="AA103" s="98"/>
      <c r="AB103" s="98"/>
      <c r="AC103" s="98"/>
      <c r="AD103" s="98"/>
      <c r="AE103" s="576"/>
      <c r="AF103" s="576"/>
      <c r="AG103" s="576"/>
      <c r="AH103" s="576"/>
      <c r="AI103" s="576"/>
      <c r="AJ103" s="576"/>
      <c r="AK103" s="576"/>
      <c r="AL103" s="576"/>
      <c r="AM103" s="576"/>
      <c r="AN103" s="576"/>
      <c r="AO103" s="576"/>
      <c r="AP103" s="576"/>
      <c r="AQ103" s="576"/>
      <c r="AR103" s="576"/>
      <c r="AS103" s="576"/>
      <c r="AT103" s="576"/>
      <c r="AU103" s="576"/>
      <c r="AV103" s="576"/>
      <c r="AW103" s="576"/>
      <c r="AX103" s="576"/>
      <c r="AY103" s="576"/>
      <c r="AZ103" s="576"/>
      <c r="BA103" s="576"/>
      <c r="BB103" s="576"/>
      <c r="BC103" s="577"/>
    </row>
    <row r="104" spans="1:55" x14ac:dyDescent="0.2">
      <c r="A104" s="576"/>
      <c r="B104" s="98"/>
      <c r="C104" s="98"/>
      <c r="D104" s="98"/>
      <c r="E104" s="576"/>
      <c r="F104" s="576"/>
      <c r="G104" s="576"/>
      <c r="H104" s="576"/>
      <c r="I104" s="576"/>
      <c r="J104" s="576"/>
      <c r="K104" s="576"/>
      <c r="L104" s="576"/>
      <c r="M104" s="576"/>
      <c r="N104" s="576"/>
      <c r="O104" s="576"/>
      <c r="P104" s="576"/>
      <c r="Q104" s="576"/>
      <c r="R104" s="576"/>
      <c r="S104" s="576"/>
      <c r="T104" s="576"/>
      <c r="U104" s="576"/>
      <c r="V104" s="576"/>
      <c r="W104" s="576"/>
      <c r="X104" s="576"/>
      <c r="Y104" s="98"/>
      <c r="Z104" s="98"/>
      <c r="AA104" s="98"/>
      <c r="AB104" s="98"/>
      <c r="AC104" s="98"/>
      <c r="AD104" s="98"/>
      <c r="AE104" s="576"/>
      <c r="AF104" s="576"/>
      <c r="AG104" s="576"/>
      <c r="AH104" s="576"/>
      <c r="AI104" s="576"/>
      <c r="AJ104" s="576"/>
      <c r="AK104" s="576"/>
      <c r="AL104" s="576"/>
      <c r="AM104" s="576"/>
      <c r="AN104" s="576"/>
      <c r="AO104" s="576"/>
      <c r="AP104" s="576"/>
      <c r="AQ104" s="576"/>
      <c r="AR104" s="576"/>
      <c r="AS104" s="576"/>
      <c r="AT104" s="576"/>
      <c r="AU104" s="576"/>
      <c r="AV104" s="576"/>
      <c r="AW104" s="576"/>
      <c r="AX104" s="576"/>
      <c r="AY104" s="576"/>
      <c r="AZ104" s="576"/>
      <c r="BA104" s="576"/>
      <c r="BB104" s="576"/>
      <c r="BC104" s="577"/>
    </row>
    <row r="105" spans="1:55" x14ac:dyDescent="0.2">
      <c r="A105" s="576"/>
      <c r="B105" s="98"/>
      <c r="C105" s="98"/>
      <c r="D105" s="98"/>
      <c r="E105" s="576"/>
      <c r="F105" s="576"/>
      <c r="G105" s="576"/>
      <c r="H105" s="576"/>
      <c r="I105" s="576"/>
      <c r="J105" s="576"/>
      <c r="K105" s="576"/>
      <c r="L105" s="576"/>
      <c r="M105" s="576"/>
      <c r="N105" s="576"/>
      <c r="O105" s="576"/>
      <c r="P105" s="576"/>
      <c r="Q105" s="576"/>
      <c r="R105" s="576"/>
      <c r="S105" s="576"/>
      <c r="T105" s="576"/>
      <c r="U105" s="576"/>
      <c r="V105" s="576"/>
      <c r="W105" s="576"/>
      <c r="X105" s="576"/>
      <c r="Y105" s="98"/>
      <c r="Z105" s="98"/>
      <c r="AA105" s="98"/>
      <c r="AB105" s="98"/>
      <c r="AC105" s="98"/>
      <c r="AD105" s="98"/>
      <c r="AE105" s="576"/>
      <c r="AF105" s="576"/>
      <c r="AG105" s="576"/>
      <c r="AH105" s="576"/>
      <c r="AI105" s="576"/>
      <c r="AJ105" s="576"/>
      <c r="AK105" s="576"/>
      <c r="AL105" s="576"/>
      <c r="AM105" s="576"/>
      <c r="AN105" s="576"/>
      <c r="AO105" s="576"/>
      <c r="AP105" s="576"/>
      <c r="AQ105" s="576"/>
      <c r="AR105" s="576"/>
      <c r="AS105" s="576"/>
      <c r="AT105" s="576"/>
      <c r="AU105" s="576"/>
      <c r="AV105" s="576"/>
      <c r="AW105" s="576"/>
      <c r="AX105" s="576"/>
      <c r="AY105" s="576"/>
      <c r="AZ105" s="576"/>
      <c r="BA105" s="576"/>
      <c r="BB105" s="576"/>
      <c r="BC105" s="577"/>
    </row>
    <row r="106" spans="1:55" x14ac:dyDescent="0.2">
      <c r="A106" s="576"/>
      <c r="B106" s="98"/>
      <c r="C106" s="98"/>
      <c r="D106" s="98"/>
      <c r="E106" s="576"/>
      <c r="F106" s="576"/>
      <c r="G106" s="576"/>
      <c r="H106" s="576"/>
      <c r="I106" s="576"/>
      <c r="J106" s="576"/>
      <c r="K106" s="576"/>
      <c r="L106" s="576"/>
      <c r="M106" s="576"/>
      <c r="N106" s="576"/>
      <c r="O106" s="576"/>
      <c r="P106" s="576"/>
      <c r="Q106" s="576"/>
      <c r="R106" s="576"/>
      <c r="S106" s="576"/>
      <c r="T106" s="576"/>
      <c r="U106" s="576"/>
      <c r="V106" s="576"/>
      <c r="W106" s="576"/>
      <c r="X106" s="576"/>
      <c r="Y106" s="98"/>
      <c r="Z106" s="98"/>
      <c r="AA106" s="98"/>
      <c r="AB106" s="98"/>
      <c r="AC106" s="98"/>
      <c r="AD106" s="98"/>
      <c r="AE106" s="576"/>
      <c r="AF106" s="576"/>
      <c r="AG106" s="576"/>
      <c r="AH106" s="576"/>
      <c r="AI106" s="576"/>
      <c r="AJ106" s="576"/>
      <c r="AK106" s="576"/>
      <c r="AL106" s="576"/>
      <c r="AM106" s="576"/>
      <c r="AN106" s="576"/>
      <c r="AO106" s="576"/>
      <c r="AP106" s="576"/>
      <c r="AQ106" s="576"/>
      <c r="AR106" s="576"/>
      <c r="AS106" s="576"/>
      <c r="AT106" s="576"/>
      <c r="AU106" s="576"/>
      <c r="AV106" s="576"/>
      <c r="AW106" s="576"/>
      <c r="AX106" s="576"/>
      <c r="AY106" s="576"/>
      <c r="AZ106" s="576"/>
      <c r="BA106" s="576"/>
      <c r="BB106" s="576"/>
      <c r="BC106" s="577"/>
    </row>
    <row r="107" spans="1:55" x14ac:dyDescent="0.2">
      <c r="A107" s="576"/>
      <c r="B107" s="98"/>
      <c r="C107" s="98"/>
      <c r="D107" s="98"/>
      <c r="E107" s="576"/>
      <c r="F107" s="576"/>
      <c r="G107" s="576"/>
      <c r="H107" s="576"/>
      <c r="I107" s="576"/>
      <c r="J107" s="576"/>
      <c r="K107" s="576"/>
      <c r="L107" s="576"/>
      <c r="M107" s="576"/>
      <c r="N107" s="576"/>
      <c r="O107" s="576"/>
      <c r="P107" s="576"/>
      <c r="Q107" s="576"/>
      <c r="R107" s="576"/>
      <c r="S107" s="576"/>
      <c r="T107" s="576"/>
      <c r="U107" s="576"/>
      <c r="V107" s="576"/>
      <c r="W107" s="576"/>
      <c r="X107" s="576"/>
      <c r="Y107" s="98"/>
      <c r="Z107" s="98"/>
      <c r="AA107" s="98"/>
      <c r="AB107" s="98"/>
      <c r="AC107" s="98"/>
      <c r="AD107" s="98"/>
      <c r="AE107" s="576"/>
      <c r="AF107" s="576"/>
      <c r="AG107" s="576"/>
      <c r="AH107" s="576"/>
      <c r="AI107" s="576"/>
      <c r="AJ107" s="576"/>
      <c r="AK107" s="576"/>
      <c r="AL107" s="576"/>
      <c r="AM107" s="576"/>
      <c r="AN107" s="576"/>
      <c r="AO107" s="576"/>
      <c r="AP107" s="576"/>
      <c r="AQ107" s="576"/>
      <c r="AR107" s="576"/>
      <c r="AS107" s="576"/>
      <c r="AT107" s="576"/>
      <c r="AU107" s="576"/>
      <c r="AV107" s="576"/>
      <c r="AW107" s="576"/>
      <c r="AX107" s="576"/>
      <c r="AY107" s="576"/>
      <c r="AZ107" s="576"/>
      <c r="BA107" s="576"/>
      <c r="BB107" s="576"/>
      <c r="BC107" s="577"/>
    </row>
    <row r="108" spans="1:55" x14ac:dyDescent="0.2">
      <c r="A108" s="576"/>
      <c r="B108" s="98"/>
      <c r="C108" s="98"/>
      <c r="D108" s="98"/>
      <c r="E108" s="576"/>
      <c r="F108" s="576"/>
      <c r="G108" s="576"/>
      <c r="H108" s="576"/>
      <c r="I108" s="576"/>
      <c r="J108" s="576"/>
      <c r="K108" s="576"/>
      <c r="L108" s="576"/>
      <c r="M108" s="576"/>
      <c r="N108" s="576"/>
      <c r="O108" s="576"/>
      <c r="P108" s="576"/>
      <c r="Q108" s="576"/>
      <c r="R108" s="576"/>
      <c r="S108" s="576"/>
      <c r="T108" s="576"/>
      <c r="U108" s="576"/>
      <c r="V108" s="576"/>
      <c r="W108" s="576"/>
      <c r="X108" s="576"/>
      <c r="Y108" s="98"/>
      <c r="Z108" s="98"/>
      <c r="AA108" s="98"/>
      <c r="AB108" s="98"/>
      <c r="AC108" s="98"/>
      <c r="AD108" s="98"/>
      <c r="AE108" s="576"/>
      <c r="AF108" s="576"/>
      <c r="AG108" s="576"/>
      <c r="AH108" s="576"/>
      <c r="AI108" s="576"/>
      <c r="AJ108" s="576"/>
      <c r="AK108" s="576"/>
      <c r="AL108" s="576"/>
      <c r="AM108" s="576"/>
      <c r="AN108" s="576"/>
      <c r="AO108" s="576"/>
      <c r="AP108" s="576"/>
      <c r="AQ108" s="576"/>
      <c r="AR108" s="576"/>
      <c r="AS108" s="576"/>
      <c r="AT108" s="576"/>
      <c r="AU108" s="576"/>
      <c r="AV108" s="576"/>
      <c r="AW108" s="576"/>
      <c r="AX108" s="576"/>
      <c r="AY108" s="576"/>
      <c r="AZ108" s="576"/>
      <c r="BA108" s="576"/>
      <c r="BB108" s="576"/>
      <c r="BC108" s="577"/>
    </row>
    <row r="109" spans="1:55" x14ac:dyDescent="0.2">
      <c r="A109" s="576"/>
      <c r="B109" s="98"/>
      <c r="C109" s="98"/>
      <c r="D109" s="98"/>
      <c r="E109" s="576"/>
      <c r="F109" s="576"/>
      <c r="G109" s="576"/>
      <c r="H109" s="576"/>
      <c r="I109" s="576"/>
      <c r="J109" s="576"/>
      <c r="K109" s="576"/>
      <c r="L109" s="576"/>
      <c r="M109" s="576"/>
      <c r="N109" s="576"/>
      <c r="O109" s="576"/>
      <c r="P109" s="576"/>
      <c r="Q109" s="576"/>
      <c r="R109" s="576"/>
      <c r="S109" s="576"/>
      <c r="T109" s="576"/>
      <c r="U109" s="576"/>
      <c r="V109" s="576"/>
      <c r="W109" s="576"/>
      <c r="X109" s="576"/>
      <c r="Y109" s="98"/>
      <c r="Z109" s="98"/>
      <c r="AA109" s="98"/>
      <c r="AB109" s="98"/>
      <c r="AC109" s="98"/>
      <c r="AD109" s="98"/>
      <c r="AE109" s="576"/>
      <c r="AF109" s="576"/>
      <c r="AG109" s="576"/>
      <c r="AH109" s="576"/>
      <c r="AI109" s="576"/>
      <c r="AJ109" s="576"/>
      <c r="AK109" s="576"/>
      <c r="AL109" s="576"/>
      <c r="AM109" s="576"/>
      <c r="AN109" s="576"/>
      <c r="AO109" s="576"/>
      <c r="AP109" s="576"/>
      <c r="AQ109" s="576"/>
      <c r="AR109" s="576"/>
      <c r="AS109" s="576"/>
      <c r="AT109" s="576"/>
      <c r="AU109" s="576"/>
      <c r="AV109" s="576"/>
      <c r="AW109" s="576"/>
      <c r="AX109" s="576"/>
      <c r="AY109" s="576"/>
      <c r="AZ109" s="576"/>
      <c r="BA109" s="576"/>
      <c r="BB109" s="576"/>
      <c r="BC109" s="577"/>
    </row>
    <row r="110" spans="1:55" x14ac:dyDescent="0.2">
      <c r="A110" s="576"/>
      <c r="B110" s="98"/>
      <c r="C110" s="98"/>
      <c r="D110" s="98"/>
      <c r="E110" s="576"/>
      <c r="F110" s="576"/>
      <c r="G110" s="576"/>
      <c r="H110" s="576"/>
      <c r="I110" s="576"/>
      <c r="J110" s="576"/>
      <c r="K110" s="576"/>
      <c r="L110" s="576"/>
      <c r="M110" s="576"/>
      <c r="N110" s="576"/>
      <c r="O110" s="576"/>
      <c r="P110" s="576"/>
      <c r="Q110" s="576"/>
      <c r="R110" s="576"/>
      <c r="S110" s="576"/>
      <c r="T110" s="576"/>
      <c r="U110" s="576"/>
      <c r="V110" s="576"/>
      <c r="W110" s="576"/>
      <c r="X110" s="576"/>
      <c r="Y110" s="98"/>
      <c r="Z110" s="98"/>
      <c r="AA110" s="98"/>
      <c r="AB110" s="98"/>
      <c r="AC110" s="98"/>
      <c r="AD110" s="98"/>
      <c r="AE110" s="576"/>
      <c r="AF110" s="576"/>
      <c r="AG110" s="576"/>
      <c r="AH110" s="576"/>
      <c r="AI110" s="576"/>
      <c r="AJ110" s="576"/>
      <c r="AK110" s="576"/>
      <c r="AL110" s="576"/>
      <c r="AM110" s="576"/>
      <c r="AN110" s="576"/>
      <c r="AO110" s="576"/>
      <c r="AP110" s="576"/>
      <c r="AQ110" s="576"/>
      <c r="AR110" s="576"/>
      <c r="AS110" s="576"/>
      <c r="AT110" s="576"/>
      <c r="AU110" s="576"/>
      <c r="AV110" s="576"/>
      <c r="AW110" s="576"/>
      <c r="AX110" s="576"/>
      <c r="AY110" s="576"/>
      <c r="AZ110" s="576"/>
      <c r="BA110" s="576"/>
      <c r="BB110" s="576"/>
      <c r="BC110" s="577"/>
    </row>
    <row r="111" spans="1:55" x14ac:dyDescent="0.2">
      <c r="A111" s="576"/>
      <c r="B111" s="98"/>
      <c r="C111" s="98"/>
      <c r="D111" s="98"/>
      <c r="E111" s="576"/>
      <c r="F111" s="576"/>
      <c r="G111" s="576"/>
      <c r="H111" s="576"/>
      <c r="I111" s="576"/>
      <c r="J111" s="576"/>
      <c r="K111" s="576"/>
      <c r="L111" s="576"/>
      <c r="M111" s="576"/>
      <c r="N111" s="576"/>
      <c r="O111" s="576"/>
      <c r="P111" s="576"/>
      <c r="Q111" s="576"/>
      <c r="R111" s="576"/>
      <c r="S111" s="576"/>
      <c r="T111" s="576"/>
      <c r="U111" s="576"/>
      <c r="V111" s="576"/>
      <c r="W111" s="576"/>
      <c r="X111" s="576"/>
      <c r="Y111" s="98"/>
      <c r="Z111" s="98"/>
      <c r="AA111" s="98"/>
      <c r="AB111" s="98"/>
      <c r="AC111" s="98"/>
      <c r="AD111" s="98"/>
      <c r="AE111" s="576"/>
      <c r="AF111" s="576"/>
      <c r="AG111" s="576"/>
      <c r="AH111" s="576"/>
      <c r="AI111" s="576"/>
      <c r="AJ111" s="576"/>
      <c r="AK111" s="576"/>
      <c r="AL111" s="576"/>
      <c r="AM111" s="576"/>
      <c r="AN111" s="576"/>
      <c r="AO111" s="576"/>
      <c r="AP111" s="576"/>
      <c r="AQ111" s="576"/>
      <c r="AR111" s="576"/>
      <c r="AS111" s="576"/>
      <c r="AT111" s="576"/>
      <c r="AU111" s="576"/>
      <c r="AV111" s="576"/>
      <c r="AW111" s="576"/>
      <c r="AX111" s="576"/>
      <c r="AY111" s="576"/>
      <c r="AZ111" s="576"/>
      <c r="BA111" s="576"/>
      <c r="BB111" s="576"/>
      <c r="BC111" s="577"/>
    </row>
    <row r="112" spans="1:55" x14ac:dyDescent="0.2">
      <c r="A112" s="576"/>
      <c r="B112" s="98"/>
      <c r="C112" s="98"/>
      <c r="D112" s="98"/>
      <c r="E112" s="576"/>
      <c r="F112" s="576"/>
      <c r="G112" s="576"/>
      <c r="H112" s="576"/>
      <c r="I112" s="576"/>
      <c r="J112" s="576"/>
      <c r="K112" s="576"/>
      <c r="L112" s="576"/>
      <c r="M112" s="576"/>
      <c r="N112" s="576"/>
      <c r="O112" s="576"/>
      <c r="P112" s="576"/>
      <c r="Q112" s="576"/>
      <c r="R112" s="576"/>
      <c r="S112" s="576"/>
      <c r="T112" s="576"/>
      <c r="U112" s="576"/>
      <c r="V112" s="576"/>
      <c r="W112" s="576"/>
      <c r="X112" s="576"/>
      <c r="Y112" s="98"/>
      <c r="Z112" s="98"/>
      <c r="AA112" s="98"/>
      <c r="AB112" s="98"/>
      <c r="AC112" s="98"/>
      <c r="AD112" s="98"/>
      <c r="AE112" s="576"/>
      <c r="AF112" s="576"/>
      <c r="AG112" s="576"/>
      <c r="AH112" s="576"/>
      <c r="AI112" s="576"/>
      <c r="AJ112" s="576"/>
      <c r="AK112" s="576"/>
      <c r="AL112" s="576"/>
      <c r="AM112" s="576"/>
      <c r="AN112" s="576"/>
      <c r="AO112" s="576"/>
      <c r="AP112" s="576"/>
      <c r="AQ112" s="576"/>
      <c r="AR112" s="576"/>
      <c r="AS112" s="576"/>
      <c r="AT112" s="576"/>
      <c r="AU112" s="576"/>
      <c r="AV112" s="576"/>
      <c r="AW112" s="576"/>
      <c r="AX112" s="576"/>
      <c r="AY112" s="576"/>
      <c r="AZ112" s="576"/>
      <c r="BA112" s="576"/>
      <c r="BB112" s="576"/>
      <c r="BC112" s="577"/>
    </row>
    <row r="113" spans="1:55" x14ac:dyDescent="0.2">
      <c r="A113" s="576"/>
      <c r="B113" s="98"/>
      <c r="C113" s="98"/>
      <c r="D113" s="98"/>
      <c r="E113" s="576"/>
      <c r="F113" s="576"/>
      <c r="G113" s="576"/>
      <c r="H113" s="576"/>
      <c r="I113" s="576"/>
      <c r="J113" s="576"/>
      <c r="K113" s="576"/>
      <c r="L113" s="576"/>
      <c r="M113" s="576"/>
      <c r="N113" s="576"/>
      <c r="O113" s="576"/>
      <c r="P113" s="576"/>
      <c r="Q113" s="576"/>
      <c r="R113" s="576"/>
      <c r="S113" s="576"/>
      <c r="T113" s="576"/>
      <c r="U113" s="576"/>
      <c r="V113" s="576"/>
      <c r="W113" s="576"/>
      <c r="X113" s="576"/>
      <c r="Y113" s="98"/>
      <c r="Z113" s="98"/>
      <c r="AA113" s="98"/>
      <c r="AB113" s="98"/>
      <c r="AC113" s="98"/>
      <c r="AD113" s="98"/>
      <c r="AE113" s="576"/>
      <c r="AF113" s="576"/>
      <c r="AG113" s="576"/>
      <c r="AH113" s="576"/>
      <c r="AI113" s="576"/>
      <c r="AJ113" s="576"/>
      <c r="AK113" s="576"/>
      <c r="AL113" s="576"/>
      <c r="AM113" s="576"/>
      <c r="AN113" s="576"/>
      <c r="AO113" s="576"/>
      <c r="AP113" s="576"/>
      <c r="AQ113" s="576"/>
      <c r="AR113" s="576"/>
      <c r="AS113" s="576"/>
      <c r="AT113" s="576"/>
      <c r="AU113" s="576"/>
      <c r="AV113" s="576"/>
      <c r="AW113" s="576"/>
      <c r="AX113" s="576"/>
      <c r="AY113" s="576"/>
      <c r="AZ113" s="576"/>
      <c r="BA113" s="576"/>
      <c r="BB113" s="576"/>
      <c r="BC113" s="577"/>
    </row>
    <row r="114" spans="1:55" x14ac:dyDescent="0.2">
      <c r="A114" s="576"/>
      <c r="B114" s="98"/>
      <c r="C114" s="98"/>
      <c r="D114" s="98"/>
      <c r="E114" s="576"/>
      <c r="F114" s="576"/>
      <c r="G114" s="576"/>
      <c r="H114" s="576"/>
      <c r="I114" s="576"/>
      <c r="J114" s="576"/>
      <c r="K114" s="576"/>
      <c r="L114" s="576"/>
      <c r="M114" s="576"/>
      <c r="N114" s="576"/>
      <c r="O114" s="576"/>
      <c r="P114" s="576"/>
      <c r="Q114" s="576"/>
      <c r="R114" s="576"/>
      <c r="S114" s="576"/>
      <c r="T114" s="576"/>
      <c r="U114" s="576"/>
      <c r="V114" s="576"/>
      <c r="W114" s="576"/>
      <c r="X114" s="576"/>
      <c r="Y114" s="98"/>
      <c r="Z114" s="98"/>
      <c r="AA114" s="98"/>
      <c r="AB114" s="98"/>
      <c r="AC114" s="98"/>
      <c r="AD114" s="98"/>
      <c r="AE114" s="576"/>
      <c r="AF114" s="576"/>
      <c r="AG114" s="576"/>
      <c r="AH114" s="576"/>
      <c r="AI114" s="576"/>
      <c r="AJ114" s="576"/>
      <c r="AK114" s="576"/>
      <c r="AL114" s="576"/>
      <c r="AM114" s="576"/>
      <c r="AN114" s="576"/>
      <c r="AO114" s="576"/>
      <c r="AP114" s="576"/>
      <c r="AQ114" s="576"/>
      <c r="AR114" s="576"/>
      <c r="AS114" s="576"/>
      <c r="AT114" s="576"/>
      <c r="AU114" s="576"/>
      <c r="AV114" s="576"/>
      <c r="AW114" s="576"/>
      <c r="AX114" s="576"/>
      <c r="AY114" s="576"/>
      <c r="AZ114" s="576"/>
      <c r="BA114" s="576"/>
      <c r="BB114" s="576"/>
      <c r="BC114" s="577"/>
    </row>
    <row r="115" spans="1:55" x14ac:dyDescent="0.2">
      <c r="A115" s="576"/>
      <c r="B115" s="98"/>
      <c r="C115" s="98"/>
      <c r="D115" s="98"/>
      <c r="E115" s="576"/>
      <c r="F115" s="576"/>
      <c r="G115" s="576"/>
      <c r="H115" s="576"/>
      <c r="I115" s="576"/>
      <c r="J115" s="576"/>
      <c r="K115" s="576"/>
      <c r="L115" s="576"/>
      <c r="M115" s="576"/>
      <c r="N115" s="576"/>
      <c r="O115" s="576"/>
      <c r="P115" s="576"/>
      <c r="Q115" s="576"/>
      <c r="R115" s="576"/>
      <c r="S115" s="576"/>
      <c r="T115" s="576"/>
      <c r="U115" s="576"/>
      <c r="V115" s="576"/>
      <c r="W115" s="576"/>
      <c r="X115" s="576"/>
      <c r="Y115" s="98"/>
      <c r="Z115" s="98"/>
      <c r="AA115" s="98"/>
      <c r="AB115" s="98"/>
      <c r="AC115" s="98"/>
      <c r="AD115" s="98"/>
      <c r="AE115" s="576"/>
      <c r="AF115" s="576"/>
      <c r="AG115" s="576"/>
      <c r="AH115" s="576"/>
      <c r="AI115" s="576"/>
      <c r="AJ115" s="576"/>
      <c r="AK115" s="576"/>
      <c r="AL115" s="576"/>
      <c r="AM115" s="576"/>
      <c r="AN115" s="576"/>
      <c r="AO115" s="576"/>
      <c r="AP115" s="576"/>
      <c r="AQ115" s="576"/>
      <c r="AR115" s="576"/>
      <c r="AS115" s="576"/>
      <c r="AT115" s="576"/>
      <c r="AU115" s="576"/>
      <c r="AV115" s="576"/>
      <c r="AW115" s="576"/>
      <c r="AX115" s="576"/>
      <c r="AY115" s="576"/>
      <c r="AZ115" s="576"/>
      <c r="BA115" s="576"/>
      <c r="BB115" s="576"/>
      <c r="BC115" s="577"/>
    </row>
    <row r="116" spans="1:55" x14ac:dyDescent="0.2">
      <c r="A116" s="576"/>
      <c r="B116" s="98"/>
      <c r="C116" s="98"/>
      <c r="D116" s="98"/>
      <c r="E116" s="576"/>
      <c r="F116" s="576"/>
      <c r="G116" s="576"/>
      <c r="H116" s="576"/>
      <c r="I116" s="576"/>
      <c r="J116" s="576"/>
      <c r="K116" s="576"/>
      <c r="L116" s="576"/>
      <c r="M116" s="576"/>
      <c r="N116" s="576"/>
      <c r="O116" s="576"/>
      <c r="P116" s="576"/>
      <c r="Q116" s="576"/>
      <c r="R116" s="576"/>
      <c r="S116" s="576"/>
      <c r="T116" s="576"/>
      <c r="U116" s="576"/>
      <c r="V116" s="576"/>
      <c r="W116" s="576"/>
      <c r="X116" s="576"/>
      <c r="Y116" s="98"/>
      <c r="Z116" s="98"/>
      <c r="AA116" s="98"/>
      <c r="AB116" s="98"/>
      <c r="AC116" s="98"/>
      <c r="AD116" s="98"/>
      <c r="AE116" s="576"/>
      <c r="AF116" s="576"/>
      <c r="AG116" s="576"/>
      <c r="AH116" s="576"/>
      <c r="AI116" s="576"/>
      <c r="AJ116" s="576"/>
      <c r="AK116" s="576"/>
      <c r="AL116" s="576"/>
      <c r="AM116" s="576"/>
      <c r="AN116" s="576"/>
      <c r="AO116" s="576"/>
      <c r="AP116" s="576"/>
      <c r="AQ116" s="576"/>
      <c r="AR116" s="576"/>
      <c r="AS116" s="576"/>
      <c r="AT116" s="576"/>
      <c r="AU116" s="576"/>
      <c r="AV116" s="576"/>
      <c r="AW116" s="576"/>
      <c r="AX116" s="576"/>
      <c r="AY116" s="576"/>
      <c r="AZ116" s="576"/>
      <c r="BA116" s="576"/>
      <c r="BB116" s="576"/>
      <c r="BC116" s="577"/>
    </row>
    <row r="117" spans="1:55" x14ac:dyDescent="0.2">
      <c r="A117" s="576"/>
      <c r="B117" s="98"/>
      <c r="C117" s="98"/>
      <c r="D117" s="98"/>
      <c r="E117" s="576"/>
      <c r="F117" s="576"/>
      <c r="G117" s="576"/>
      <c r="H117" s="576"/>
      <c r="I117" s="576"/>
      <c r="J117" s="576"/>
      <c r="K117" s="576"/>
      <c r="L117" s="576"/>
      <c r="M117" s="576"/>
      <c r="N117" s="576"/>
      <c r="O117" s="576"/>
      <c r="P117" s="576"/>
      <c r="Q117" s="576"/>
      <c r="R117" s="576"/>
      <c r="S117" s="576"/>
      <c r="T117" s="576"/>
      <c r="U117" s="576"/>
      <c r="V117" s="576"/>
      <c r="W117" s="576"/>
      <c r="X117" s="576"/>
      <c r="Y117" s="98"/>
      <c r="Z117" s="98"/>
      <c r="AA117" s="98"/>
      <c r="AB117" s="98"/>
      <c r="AC117" s="98"/>
      <c r="AD117" s="98"/>
      <c r="AE117" s="576"/>
      <c r="AF117" s="576"/>
      <c r="AG117" s="576"/>
      <c r="AH117" s="576"/>
      <c r="AI117" s="576"/>
      <c r="AJ117" s="576"/>
      <c r="AK117" s="576"/>
      <c r="AL117" s="576"/>
      <c r="AM117" s="576"/>
      <c r="AN117" s="576"/>
      <c r="AO117" s="576"/>
      <c r="AP117" s="576"/>
      <c r="AQ117" s="576"/>
      <c r="AR117" s="576"/>
      <c r="AS117" s="576"/>
      <c r="AT117" s="576"/>
      <c r="AU117" s="576"/>
      <c r="AV117" s="576"/>
      <c r="AW117" s="576"/>
      <c r="AX117" s="576"/>
      <c r="AY117" s="576"/>
      <c r="AZ117" s="576"/>
      <c r="BA117" s="576"/>
      <c r="BB117" s="576"/>
      <c r="BC117" s="577"/>
    </row>
    <row r="118" spans="1:55" x14ac:dyDescent="0.2">
      <c r="A118" s="576"/>
      <c r="B118" s="98"/>
      <c r="C118" s="98"/>
      <c r="D118" s="98"/>
      <c r="E118" s="576"/>
      <c r="F118" s="576"/>
      <c r="G118" s="576"/>
      <c r="H118" s="576"/>
      <c r="I118" s="576"/>
      <c r="J118" s="576"/>
      <c r="K118" s="576"/>
      <c r="L118" s="576"/>
      <c r="M118" s="576"/>
      <c r="N118" s="576"/>
      <c r="O118" s="576"/>
      <c r="P118" s="576"/>
      <c r="Q118" s="576"/>
      <c r="R118" s="576"/>
      <c r="S118" s="576"/>
      <c r="T118" s="576"/>
      <c r="U118" s="576"/>
      <c r="V118" s="576"/>
      <c r="W118" s="576"/>
      <c r="X118" s="576"/>
      <c r="Y118" s="98"/>
      <c r="Z118" s="98"/>
      <c r="AA118" s="98"/>
      <c r="AB118" s="98"/>
      <c r="AC118" s="98"/>
      <c r="AD118" s="98"/>
      <c r="AE118" s="576"/>
      <c r="AF118" s="576"/>
      <c r="AG118" s="576"/>
      <c r="AH118" s="576"/>
      <c r="AI118" s="576"/>
      <c r="AJ118" s="576"/>
      <c r="AK118" s="576"/>
      <c r="AL118" s="576"/>
      <c r="AM118" s="576"/>
      <c r="AN118" s="576"/>
      <c r="AO118" s="576"/>
      <c r="AP118" s="576"/>
      <c r="AQ118" s="576"/>
      <c r="AR118" s="576"/>
      <c r="AS118" s="576"/>
      <c r="AT118" s="576"/>
      <c r="AU118" s="576"/>
      <c r="AV118" s="576"/>
      <c r="AW118" s="576"/>
      <c r="AX118" s="576"/>
      <c r="AY118" s="576"/>
      <c r="AZ118" s="576"/>
      <c r="BA118" s="576"/>
      <c r="BB118" s="576"/>
      <c r="BC118" s="577"/>
    </row>
    <row r="119" spans="1:55" x14ac:dyDescent="0.2">
      <c r="A119" s="576"/>
      <c r="B119" s="98"/>
      <c r="C119" s="98"/>
      <c r="D119" s="98"/>
      <c r="E119" s="576"/>
      <c r="F119" s="576"/>
      <c r="G119" s="576"/>
      <c r="H119" s="576"/>
      <c r="I119" s="576"/>
      <c r="J119" s="576"/>
      <c r="K119" s="576"/>
      <c r="L119" s="576"/>
      <c r="M119" s="576"/>
      <c r="N119" s="576"/>
      <c r="O119" s="576"/>
      <c r="P119" s="576"/>
      <c r="Q119" s="576"/>
      <c r="R119" s="576"/>
      <c r="S119" s="576"/>
      <c r="T119" s="576"/>
      <c r="U119" s="576"/>
      <c r="V119" s="576"/>
      <c r="W119" s="576"/>
      <c r="X119" s="576"/>
      <c r="Y119" s="98"/>
      <c r="Z119" s="98"/>
      <c r="AA119" s="98"/>
      <c r="AB119" s="98"/>
      <c r="AC119" s="98"/>
      <c r="AD119" s="98"/>
      <c r="AE119" s="576"/>
      <c r="AF119" s="576"/>
      <c r="AG119" s="576"/>
      <c r="AH119" s="576"/>
      <c r="AI119" s="576"/>
      <c r="AJ119" s="576"/>
      <c r="AK119" s="576"/>
      <c r="AL119" s="576"/>
      <c r="AM119" s="576"/>
      <c r="AN119" s="576"/>
      <c r="AO119" s="576"/>
      <c r="AP119" s="576"/>
      <c r="AQ119" s="576"/>
      <c r="AR119" s="576"/>
      <c r="AS119" s="576"/>
      <c r="AT119" s="576"/>
      <c r="AU119" s="576"/>
      <c r="AV119" s="576"/>
      <c r="AW119" s="576"/>
      <c r="AX119" s="576"/>
      <c r="AY119" s="576"/>
      <c r="AZ119" s="576"/>
      <c r="BA119" s="576"/>
      <c r="BB119" s="576"/>
      <c r="BC119" s="577"/>
    </row>
    <row r="120" spans="1:55" x14ac:dyDescent="0.2">
      <c r="A120" s="576"/>
      <c r="B120" s="98"/>
      <c r="C120" s="98"/>
      <c r="D120" s="98"/>
      <c r="E120" s="576"/>
      <c r="F120" s="576"/>
      <c r="G120" s="576"/>
      <c r="H120" s="576"/>
      <c r="I120" s="576"/>
      <c r="J120" s="576"/>
      <c r="K120" s="576"/>
      <c r="L120" s="576"/>
      <c r="M120" s="576"/>
      <c r="N120" s="576"/>
      <c r="O120" s="576"/>
      <c r="P120" s="576"/>
      <c r="Q120" s="576"/>
      <c r="R120" s="576"/>
      <c r="S120" s="576"/>
      <c r="T120" s="576"/>
      <c r="U120" s="576"/>
      <c r="V120" s="576"/>
      <c r="W120" s="576"/>
      <c r="X120" s="576"/>
      <c r="Y120" s="98"/>
      <c r="Z120" s="98"/>
      <c r="AA120" s="98"/>
      <c r="AB120" s="98"/>
      <c r="AC120" s="98"/>
      <c r="AD120" s="98"/>
      <c r="AE120" s="576"/>
      <c r="AF120" s="576"/>
      <c r="AG120" s="576"/>
      <c r="AH120" s="576"/>
      <c r="AI120" s="576"/>
      <c r="AJ120" s="576"/>
      <c r="AK120" s="576"/>
      <c r="AL120" s="576"/>
      <c r="AM120" s="576"/>
      <c r="AN120" s="576"/>
      <c r="AO120" s="576"/>
      <c r="AP120" s="576"/>
      <c r="AQ120" s="576"/>
      <c r="AR120" s="576"/>
      <c r="AS120" s="576"/>
      <c r="AT120" s="576"/>
      <c r="AU120" s="576"/>
      <c r="AV120" s="576"/>
      <c r="AW120" s="576"/>
      <c r="AX120" s="576"/>
      <c r="AY120" s="576"/>
      <c r="AZ120" s="576"/>
      <c r="BA120" s="576"/>
      <c r="BB120" s="576"/>
      <c r="BC120" s="577"/>
    </row>
    <row r="121" spans="1:55" x14ac:dyDescent="0.2">
      <c r="A121" s="576"/>
      <c r="B121" s="98"/>
      <c r="C121" s="98"/>
      <c r="D121" s="98"/>
      <c r="E121" s="576"/>
      <c r="F121" s="576"/>
      <c r="G121" s="576"/>
      <c r="H121" s="576"/>
      <c r="I121" s="576"/>
      <c r="J121" s="576"/>
      <c r="K121" s="576"/>
      <c r="L121" s="576"/>
      <c r="M121" s="576"/>
      <c r="N121" s="576"/>
      <c r="O121" s="576"/>
      <c r="P121" s="576"/>
      <c r="Q121" s="576"/>
      <c r="R121" s="576"/>
      <c r="S121" s="576"/>
      <c r="T121" s="576"/>
      <c r="U121" s="576"/>
      <c r="V121" s="576"/>
      <c r="W121" s="576"/>
      <c r="X121" s="576"/>
      <c r="Y121" s="98"/>
      <c r="Z121" s="98"/>
      <c r="AA121" s="98"/>
      <c r="AB121" s="98"/>
      <c r="AC121" s="98"/>
      <c r="AD121" s="98"/>
      <c r="AE121" s="576"/>
      <c r="AF121" s="576"/>
      <c r="AG121" s="576"/>
      <c r="AH121" s="576"/>
      <c r="AI121" s="576"/>
      <c r="AJ121" s="576"/>
      <c r="AK121" s="576"/>
      <c r="AL121" s="576"/>
      <c r="AM121" s="576"/>
      <c r="AN121" s="576"/>
      <c r="AO121" s="576"/>
      <c r="AP121" s="576"/>
      <c r="AQ121" s="576"/>
      <c r="AR121" s="576"/>
      <c r="AS121" s="576"/>
      <c r="AT121" s="576"/>
      <c r="AU121" s="576"/>
      <c r="AV121" s="576"/>
      <c r="AW121" s="576"/>
      <c r="AX121" s="576"/>
      <c r="AY121" s="576"/>
      <c r="AZ121" s="576"/>
      <c r="BA121" s="576"/>
      <c r="BB121" s="576"/>
      <c r="BC121" s="577"/>
    </row>
    <row r="122" spans="1:55" x14ac:dyDescent="0.2">
      <c r="A122" s="576"/>
      <c r="B122" s="98"/>
      <c r="C122" s="98"/>
      <c r="D122" s="98"/>
      <c r="E122" s="576"/>
      <c r="F122" s="576"/>
      <c r="G122" s="576"/>
      <c r="H122" s="576"/>
      <c r="I122" s="576"/>
      <c r="J122" s="576"/>
      <c r="K122" s="576"/>
      <c r="L122" s="576"/>
      <c r="M122" s="576"/>
      <c r="N122" s="576"/>
      <c r="O122" s="576"/>
      <c r="P122" s="576"/>
      <c r="Q122" s="576"/>
      <c r="R122" s="576"/>
      <c r="S122" s="576"/>
      <c r="T122" s="576"/>
      <c r="U122" s="576"/>
      <c r="V122" s="576"/>
      <c r="W122" s="576"/>
      <c r="X122" s="576"/>
      <c r="Y122" s="98"/>
      <c r="Z122" s="98"/>
      <c r="AA122" s="98"/>
      <c r="AB122" s="98"/>
      <c r="AC122" s="98"/>
      <c r="AD122" s="98"/>
      <c r="AE122" s="576"/>
      <c r="AF122" s="576"/>
      <c r="AG122" s="576"/>
      <c r="AH122" s="576"/>
      <c r="AI122" s="576"/>
      <c r="AJ122" s="576"/>
      <c r="AK122" s="576"/>
      <c r="AL122" s="576"/>
      <c r="AM122" s="576"/>
      <c r="AN122" s="576"/>
      <c r="AO122" s="576"/>
      <c r="AP122" s="576"/>
      <c r="AQ122" s="576"/>
      <c r="AR122" s="576"/>
      <c r="AS122" s="576"/>
      <c r="AT122" s="576"/>
      <c r="AU122" s="576"/>
      <c r="AV122" s="576"/>
      <c r="AW122" s="576"/>
      <c r="AX122" s="576"/>
      <c r="AY122" s="576"/>
      <c r="AZ122" s="576"/>
      <c r="BA122" s="576"/>
      <c r="BB122" s="576"/>
      <c r="BC122" s="577"/>
    </row>
    <row r="123" spans="1:55" x14ac:dyDescent="0.2">
      <c r="A123" s="579"/>
      <c r="B123" s="100"/>
      <c r="C123" s="100"/>
      <c r="D123" s="100"/>
      <c r="E123" s="579"/>
      <c r="F123" s="579"/>
      <c r="G123" s="579"/>
      <c r="H123" s="579"/>
      <c r="I123" s="579"/>
      <c r="J123" s="579"/>
      <c r="K123" s="579"/>
      <c r="L123" s="579"/>
      <c r="M123" s="579"/>
      <c r="N123" s="579"/>
      <c r="O123" s="579"/>
      <c r="P123" s="579"/>
      <c r="Q123" s="579"/>
      <c r="R123" s="579"/>
      <c r="S123" s="579"/>
      <c r="T123" s="579"/>
      <c r="U123" s="579"/>
      <c r="V123" s="579"/>
      <c r="W123" s="579"/>
      <c r="X123" s="579"/>
      <c r="Y123" s="100"/>
      <c r="Z123" s="100"/>
      <c r="AA123" s="100"/>
      <c r="AB123" s="100"/>
      <c r="AC123" s="100"/>
      <c r="AD123" s="100"/>
      <c r="AE123" s="579"/>
      <c r="AF123" s="579"/>
      <c r="AG123" s="579"/>
      <c r="AH123" s="579"/>
      <c r="AI123" s="579"/>
      <c r="AJ123" s="579"/>
      <c r="AK123" s="579"/>
      <c r="AL123" s="579"/>
      <c r="AM123" s="579"/>
      <c r="AN123" s="579"/>
      <c r="AO123" s="579"/>
      <c r="AP123" s="579"/>
      <c r="AQ123" s="579"/>
      <c r="AR123" s="579"/>
      <c r="AS123" s="579"/>
      <c r="AT123" s="579"/>
      <c r="AU123" s="579"/>
      <c r="AV123" s="579"/>
      <c r="AW123" s="579"/>
      <c r="AX123" s="579"/>
      <c r="AY123" s="579"/>
      <c r="AZ123" s="579"/>
      <c r="BA123" s="579"/>
      <c r="BB123" s="579"/>
      <c r="BC123" s="580"/>
    </row>
  </sheetData>
  <sheetProtection algorithmName="SHA-512" hashValue="KmlLtPLdPcpqMyq9r5XPxxqysAjg6opDAy1dY77GHrW0QQUXTUgMtB2S6hkfaYwvDhyGPKpGIZX8jEOV0IBSmA==" saltValue="RLWZIRmOIIUBS9wlWVj57Q==" spinCount="100000" sheet="1" selectLockedCells="1"/>
  <dataConsolidate link="1"/>
  <mergeCells count="33">
    <mergeCell ref="G60:G66"/>
    <mergeCell ref="H60:H66"/>
    <mergeCell ref="I60:I66"/>
    <mergeCell ref="J60:J66"/>
    <mergeCell ref="K60:K66"/>
    <mergeCell ref="E59:X59"/>
    <mergeCell ref="X60:X66"/>
    <mergeCell ref="M60:M66"/>
    <mergeCell ref="N60:N66"/>
    <mergeCell ref="O60:O66"/>
    <mergeCell ref="P60:P66"/>
    <mergeCell ref="Q60:Q66"/>
    <mergeCell ref="R60:R66"/>
    <mergeCell ref="S60:S66"/>
    <mergeCell ref="T60:T66"/>
    <mergeCell ref="U60:U66"/>
    <mergeCell ref="V60:V66"/>
    <mergeCell ref="W60:W66"/>
    <mergeCell ref="L60:L66"/>
    <mergeCell ref="E60:E66"/>
    <mergeCell ref="F60:F66"/>
    <mergeCell ref="B7:B10"/>
    <mergeCell ref="B11:B14"/>
    <mergeCell ref="B15:B18"/>
    <mergeCell ref="B19:B22"/>
    <mergeCell ref="B23:B26"/>
    <mergeCell ref="B27:B30"/>
    <mergeCell ref="B43:B46"/>
    <mergeCell ref="B47:B50"/>
    <mergeCell ref="B51:B54"/>
    <mergeCell ref="B31:B34"/>
    <mergeCell ref="B35:B38"/>
    <mergeCell ref="B39:B42"/>
  </mergeCells>
  <conditionalFormatting sqref="C59">
    <cfRule type="expression" dxfId="21" priority="11">
      <formula>$C$60="OK"</formula>
    </cfRule>
  </conditionalFormatting>
  <conditionalFormatting sqref="C60">
    <cfRule type="expression" dxfId="20" priority="10">
      <formula>$C$60="OK"</formula>
    </cfRule>
  </conditionalFormatting>
  <conditionalFormatting sqref="C61">
    <cfRule type="expression" dxfId="19" priority="9">
      <formula>$C$62="OK"</formula>
    </cfRule>
  </conditionalFormatting>
  <conditionalFormatting sqref="C62">
    <cfRule type="expression" dxfId="18" priority="8">
      <formula>$C$62="OK"</formula>
    </cfRule>
  </conditionalFormatting>
  <conditionalFormatting sqref="C63">
    <cfRule type="expression" dxfId="17" priority="7">
      <formula>$C$64="OK"</formula>
    </cfRule>
  </conditionalFormatting>
  <conditionalFormatting sqref="C64">
    <cfRule type="expression" dxfId="16" priority="5">
      <formula>$C$64="OK"</formula>
    </cfRule>
  </conditionalFormatting>
  <conditionalFormatting sqref="C65">
    <cfRule type="expression" dxfId="15" priority="4">
      <formula>$C$66="OK"</formula>
    </cfRule>
  </conditionalFormatting>
  <conditionalFormatting sqref="C66">
    <cfRule type="expression" dxfId="14" priority="3">
      <formula>$C$66="OK"</formula>
    </cfRule>
  </conditionalFormatting>
  <conditionalFormatting sqref="E4:X4 E7:X54">
    <cfRule type="notContainsBlanks" dxfId="13" priority="2">
      <formula>LEN(TRIM(E4))&gt;0</formula>
    </cfRule>
  </conditionalFormatting>
  <conditionalFormatting sqref="E60:X66">
    <cfRule type="notContainsBlanks" dxfId="12" priority="1">
      <formula>LEN(TRIM(E60))&gt;0</formula>
    </cfRule>
  </conditionalFormatting>
  <dataValidations count="1">
    <dataValidation type="whole" allowBlank="1" showInputMessage="1" showErrorMessage="1" errorTitle="Attenzione" error="Il servizio deve avere una durata minima di 1 mese e una durata massima di 48 mesi" sqref="E4:X4" xr:uid="{00000000-0002-0000-1200-000000000000}">
      <formula1>1</formula1>
      <formula2>48</formula2>
    </dataValidation>
  </dataValidation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FFFF00"/>
  </sheetPr>
  <dimension ref="A1:I49"/>
  <sheetViews>
    <sheetView zoomScale="110" zoomScaleNormal="110" workbookViewId="0">
      <pane xSplit="1" ySplit="2" topLeftCell="B3" activePane="bottomRight" state="frozen"/>
      <selection activeCell="G15" sqref="G15"/>
      <selection pane="topRight" activeCell="G15" sqref="G15"/>
      <selection pane="bottomLeft" activeCell="G15" sqref="G15"/>
      <selection pane="bottomRight" activeCell="G15" sqref="G15"/>
    </sheetView>
  </sheetViews>
  <sheetFormatPr defaultRowHeight="15" x14ac:dyDescent="0.25"/>
  <cols>
    <col min="1" max="1" width="23.140625" customWidth="1"/>
    <col min="2" max="2" width="32.42578125" customWidth="1"/>
    <col min="3" max="3" width="2.42578125" customWidth="1"/>
    <col min="4" max="4" width="33.42578125" customWidth="1"/>
    <col min="8" max="8" width="4.42578125" customWidth="1"/>
    <col min="9" max="9" width="11.42578125" style="2" bestFit="1" customWidth="1"/>
  </cols>
  <sheetData>
    <row r="1" spans="1:9" ht="15.75" thickBot="1" x14ac:dyDescent="0.3">
      <c r="A1" s="882" t="s">
        <v>138</v>
      </c>
      <c r="B1" s="883"/>
      <c r="C1" s="883"/>
      <c r="D1" s="883"/>
      <c r="E1" s="883"/>
      <c r="F1" s="883"/>
      <c r="G1" s="883"/>
      <c r="H1" s="883"/>
      <c r="I1" s="884"/>
    </row>
    <row r="2" spans="1:9" s="114" customFormat="1" ht="26.25" thickBot="1" x14ac:dyDescent="0.25">
      <c r="A2" s="418" t="s">
        <v>12</v>
      </c>
      <c r="B2" s="419" t="s">
        <v>1227</v>
      </c>
      <c r="C2" s="419" t="s">
        <v>9</v>
      </c>
      <c r="D2" s="420" t="s">
        <v>10</v>
      </c>
      <c r="E2" s="419" t="s">
        <v>51</v>
      </c>
      <c r="F2" s="419" t="s">
        <v>1228</v>
      </c>
      <c r="G2" s="419" t="s">
        <v>49</v>
      </c>
      <c r="I2" s="421" t="s">
        <v>50</v>
      </c>
    </row>
    <row r="3" spans="1:9" ht="15" customHeight="1" thickBot="1" x14ac:dyDescent="0.3">
      <c r="A3" s="900" t="s">
        <v>53</v>
      </c>
      <c r="B3" s="9" t="s">
        <v>58</v>
      </c>
      <c r="C3" s="10">
        <v>1</v>
      </c>
      <c r="D3" s="11" t="s">
        <v>27</v>
      </c>
      <c r="E3" s="12" t="s">
        <v>33</v>
      </c>
      <c r="F3" s="15">
        <v>2.105</v>
      </c>
      <c r="G3" s="13">
        <v>0.75</v>
      </c>
      <c r="I3" s="5" t="s">
        <v>25</v>
      </c>
    </row>
    <row r="4" spans="1:9" ht="24.75" thickBot="1" x14ac:dyDescent="0.3">
      <c r="A4" s="902"/>
      <c r="B4" s="9" t="s">
        <v>58</v>
      </c>
      <c r="C4" s="10">
        <v>2</v>
      </c>
      <c r="D4" s="11" t="s">
        <v>28</v>
      </c>
      <c r="E4" s="12" t="s">
        <v>34</v>
      </c>
      <c r="F4" s="16">
        <v>1.625</v>
      </c>
      <c r="G4" s="13">
        <v>0.75</v>
      </c>
      <c r="I4" s="5" t="s">
        <v>25</v>
      </c>
    </row>
    <row r="5" spans="1:9" ht="24.75" thickBot="1" x14ac:dyDescent="0.3">
      <c r="A5" s="902"/>
      <c r="B5" s="9" t="s">
        <v>58</v>
      </c>
      <c r="C5" s="10">
        <v>3</v>
      </c>
      <c r="D5" s="11" t="s">
        <v>29</v>
      </c>
      <c r="E5" s="12" t="s">
        <v>35</v>
      </c>
      <c r="F5" s="16">
        <v>1.78</v>
      </c>
      <c r="G5" s="13">
        <v>0.75</v>
      </c>
      <c r="I5" s="5" t="s">
        <v>25</v>
      </c>
    </row>
    <row r="6" spans="1:9" ht="15.75" thickBot="1" x14ac:dyDescent="0.3">
      <c r="A6" s="902"/>
      <c r="B6" s="9" t="s">
        <v>58</v>
      </c>
      <c r="C6" s="10">
        <v>4</v>
      </c>
      <c r="D6" s="11" t="s">
        <v>185</v>
      </c>
      <c r="E6" s="12" t="s">
        <v>36</v>
      </c>
      <c r="F6" s="16">
        <v>0.66500000000000004</v>
      </c>
      <c r="G6" s="13">
        <v>0.75</v>
      </c>
      <c r="I6" s="5" t="s">
        <v>25</v>
      </c>
    </row>
    <row r="7" spans="1:9" ht="15.75" thickBot="1" x14ac:dyDescent="0.3">
      <c r="A7" s="902"/>
      <c r="B7" s="9" t="s">
        <v>58</v>
      </c>
      <c r="C7" s="10">
        <v>5</v>
      </c>
      <c r="D7" s="11" t="s">
        <v>32</v>
      </c>
      <c r="E7" s="12" t="s">
        <v>37</v>
      </c>
      <c r="F7" s="16">
        <v>0.45</v>
      </c>
      <c r="G7" s="13">
        <v>0.75</v>
      </c>
      <c r="I7" s="5" t="s">
        <v>25</v>
      </c>
    </row>
    <row r="8" spans="1:9" ht="15.75" thickBot="1" x14ac:dyDescent="0.3">
      <c r="A8" s="902"/>
      <c r="B8" s="9" t="s">
        <v>58</v>
      </c>
      <c r="C8" s="10">
        <v>6</v>
      </c>
      <c r="D8" s="11" t="s">
        <v>31</v>
      </c>
      <c r="E8" s="12" t="s">
        <v>38</v>
      </c>
      <c r="F8" s="16">
        <v>0.73</v>
      </c>
      <c r="G8" s="13">
        <v>0.75</v>
      </c>
      <c r="I8" s="5" t="s">
        <v>25</v>
      </c>
    </row>
    <row r="9" spans="1:9" ht="15.75" thickBot="1" x14ac:dyDescent="0.3">
      <c r="A9" s="902"/>
      <c r="B9" s="9" t="s">
        <v>58</v>
      </c>
      <c r="C9" s="10">
        <v>7</v>
      </c>
      <c r="D9" s="11" t="s">
        <v>30</v>
      </c>
      <c r="E9" s="12" t="s">
        <v>39</v>
      </c>
      <c r="F9" s="16">
        <v>0.39500000000000002</v>
      </c>
      <c r="G9" s="13">
        <v>0.75</v>
      </c>
      <c r="I9" s="5" t="s">
        <v>25</v>
      </c>
    </row>
    <row r="10" spans="1:9" ht="36" customHeight="1" thickBot="1" x14ac:dyDescent="0.3">
      <c r="A10" s="902"/>
      <c r="B10" s="9" t="s">
        <v>54</v>
      </c>
      <c r="C10" s="10">
        <v>8</v>
      </c>
      <c r="D10" s="11" t="s">
        <v>209</v>
      </c>
      <c r="E10" s="12" t="s">
        <v>42</v>
      </c>
      <c r="F10" s="16">
        <v>2.3530000000000002</v>
      </c>
      <c r="G10" s="17">
        <v>0.9</v>
      </c>
      <c r="I10" s="5" t="s">
        <v>26</v>
      </c>
    </row>
    <row r="11" spans="1:9" ht="48.75" thickBot="1" x14ac:dyDescent="0.3">
      <c r="A11" s="902"/>
      <c r="B11" s="9" t="s">
        <v>54</v>
      </c>
      <c r="C11" s="10">
        <v>9</v>
      </c>
      <c r="D11" s="11" t="s">
        <v>210</v>
      </c>
      <c r="E11" s="12" t="s">
        <v>43</v>
      </c>
      <c r="F11" s="16">
        <v>1.18</v>
      </c>
      <c r="G11" s="17">
        <v>0.9</v>
      </c>
      <c r="I11" s="5" t="s">
        <v>26</v>
      </c>
    </row>
    <row r="12" spans="1:9" ht="36.75" thickBot="1" x14ac:dyDescent="0.3">
      <c r="A12" s="902"/>
      <c r="B12" s="9" t="s">
        <v>54</v>
      </c>
      <c r="C12" s="10">
        <v>10</v>
      </c>
      <c r="D12" s="11" t="s">
        <v>211</v>
      </c>
      <c r="E12" s="12" t="s">
        <v>44</v>
      </c>
      <c r="F12" s="16">
        <v>0.248</v>
      </c>
      <c r="G12" s="17">
        <v>0.9</v>
      </c>
      <c r="I12" s="5" t="s">
        <v>26</v>
      </c>
    </row>
    <row r="13" spans="1:9" ht="36.75" thickBot="1" x14ac:dyDescent="0.3">
      <c r="A13" s="901"/>
      <c r="B13" s="9" t="s">
        <v>54</v>
      </c>
      <c r="C13" s="10">
        <v>11</v>
      </c>
      <c r="D13" s="11" t="s">
        <v>212</v>
      </c>
      <c r="E13" s="12" t="s">
        <v>47</v>
      </c>
      <c r="F13" s="16">
        <v>0.28699999999999998</v>
      </c>
      <c r="G13" s="17">
        <v>0.9</v>
      </c>
      <c r="I13" s="5" t="s">
        <v>26</v>
      </c>
    </row>
    <row r="14" spans="1:9" ht="15.75" thickBot="1" x14ac:dyDescent="0.3">
      <c r="A14" s="900" t="s">
        <v>55</v>
      </c>
      <c r="B14" s="894" t="s">
        <v>225</v>
      </c>
      <c r="C14" s="12">
        <v>12</v>
      </c>
      <c r="D14" s="11" t="s">
        <v>213</v>
      </c>
      <c r="E14" s="12" t="s">
        <v>13</v>
      </c>
      <c r="F14" s="16">
        <v>4.8710000000000004</v>
      </c>
      <c r="G14" s="17">
        <v>0.4</v>
      </c>
      <c r="I14" s="4" t="s">
        <v>25</v>
      </c>
    </row>
    <row r="15" spans="1:9" ht="15.75" thickBot="1" x14ac:dyDescent="0.3">
      <c r="A15" s="902"/>
      <c r="B15" s="903"/>
      <c r="C15" s="12">
        <v>13</v>
      </c>
      <c r="D15" s="11" t="s">
        <v>214</v>
      </c>
      <c r="E15" s="12" t="s">
        <v>14</v>
      </c>
      <c r="F15" s="16">
        <v>1.4279999999999999</v>
      </c>
      <c r="G15" s="17">
        <v>0.4</v>
      </c>
      <c r="I15" s="4" t="s">
        <v>25</v>
      </c>
    </row>
    <row r="16" spans="1:9" ht="15.75" thickBot="1" x14ac:dyDescent="0.3">
      <c r="A16" s="902"/>
      <c r="B16" s="903"/>
      <c r="C16" s="12">
        <v>14</v>
      </c>
      <c r="D16" s="11" t="s">
        <v>215</v>
      </c>
      <c r="E16" s="12" t="s">
        <v>15</v>
      </c>
      <c r="F16" s="16">
        <v>0.58199999999999996</v>
      </c>
      <c r="G16" s="17">
        <v>0.4</v>
      </c>
      <c r="I16" s="4" t="s">
        <v>25</v>
      </c>
    </row>
    <row r="17" spans="1:9" ht="15.75" thickBot="1" x14ac:dyDescent="0.3">
      <c r="A17" s="902"/>
      <c r="B17" s="903"/>
      <c r="C17" s="12">
        <v>15</v>
      </c>
      <c r="D17" s="11" t="s">
        <v>216</v>
      </c>
      <c r="E17" s="12" t="s">
        <v>16</v>
      </c>
      <c r="F17" s="16">
        <v>0.34899999999999998</v>
      </c>
      <c r="G17" s="17">
        <v>0.4</v>
      </c>
      <c r="I17" s="4" t="s">
        <v>25</v>
      </c>
    </row>
    <row r="18" spans="1:9" ht="15.75" thickBot="1" x14ac:dyDescent="0.3">
      <c r="A18" s="902"/>
      <c r="B18" s="903"/>
      <c r="C18" s="900">
        <v>16</v>
      </c>
      <c r="D18" s="11" t="s">
        <v>217</v>
      </c>
      <c r="E18" s="900" t="s">
        <v>17</v>
      </c>
      <c r="F18" s="904">
        <v>0.19</v>
      </c>
      <c r="G18" s="907">
        <v>0.4</v>
      </c>
      <c r="I18" s="897" t="s">
        <v>25</v>
      </c>
    </row>
    <row r="19" spans="1:9" ht="15.75" thickBot="1" x14ac:dyDescent="0.3">
      <c r="A19" s="902"/>
      <c r="B19" s="903"/>
      <c r="C19" s="902"/>
      <c r="D19" s="11" t="s">
        <v>218</v>
      </c>
      <c r="E19" s="902"/>
      <c r="F19" s="905"/>
      <c r="G19" s="908"/>
      <c r="I19" s="898"/>
    </row>
    <row r="20" spans="1:9" ht="15.75" thickBot="1" x14ac:dyDescent="0.3">
      <c r="A20" s="902"/>
      <c r="B20" s="903"/>
      <c r="C20" s="902"/>
      <c r="D20" s="11" t="s">
        <v>219</v>
      </c>
      <c r="E20" s="902"/>
      <c r="F20" s="905"/>
      <c r="G20" s="908"/>
      <c r="I20" s="898"/>
    </row>
    <row r="21" spans="1:9" ht="15.75" thickBot="1" x14ac:dyDescent="0.3">
      <c r="A21" s="902"/>
      <c r="B21" s="903"/>
      <c r="C21" s="902"/>
      <c r="D21" s="11" t="s">
        <v>220</v>
      </c>
      <c r="E21" s="902"/>
      <c r="F21" s="905"/>
      <c r="G21" s="908"/>
      <c r="I21" s="898"/>
    </row>
    <row r="22" spans="1:9" ht="15.75" thickBot="1" x14ac:dyDescent="0.3">
      <c r="A22" s="902"/>
      <c r="B22" s="903"/>
      <c r="C22" s="902"/>
      <c r="D22" s="11" t="s">
        <v>221</v>
      </c>
      <c r="E22" s="902"/>
      <c r="F22" s="905"/>
      <c r="G22" s="908"/>
      <c r="I22" s="898"/>
    </row>
    <row r="23" spans="1:9" ht="15.75" thickBot="1" x14ac:dyDescent="0.3">
      <c r="A23" s="902"/>
      <c r="B23" s="903"/>
      <c r="C23" s="902"/>
      <c r="D23" s="11" t="s">
        <v>222</v>
      </c>
      <c r="E23" s="902"/>
      <c r="F23" s="905"/>
      <c r="G23" s="908"/>
      <c r="I23" s="898"/>
    </row>
    <row r="24" spans="1:9" ht="23.45" customHeight="1" thickBot="1" x14ac:dyDescent="0.3">
      <c r="A24" s="902"/>
      <c r="B24" s="903"/>
      <c r="C24" s="901"/>
      <c r="D24" s="11" t="s">
        <v>223</v>
      </c>
      <c r="E24" s="901"/>
      <c r="F24" s="906"/>
      <c r="G24" s="909"/>
      <c r="I24" s="899"/>
    </row>
    <row r="25" spans="1:9" ht="24.75" thickBot="1" x14ac:dyDescent="0.3">
      <c r="A25" s="902"/>
      <c r="B25" s="895"/>
      <c r="C25" s="12">
        <v>17</v>
      </c>
      <c r="D25" s="11" t="s">
        <v>224</v>
      </c>
      <c r="E25" s="12" t="s">
        <v>18</v>
      </c>
      <c r="F25" s="16">
        <v>0.157</v>
      </c>
      <c r="G25" s="17">
        <v>0.4</v>
      </c>
      <c r="I25" s="4" t="s">
        <v>25</v>
      </c>
    </row>
    <row r="26" spans="1:9" ht="26.45" customHeight="1" thickBot="1" x14ac:dyDescent="0.3">
      <c r="A26" s="902"/>
      <c r="B26" s="894" t="s">
        <v>186</v>
      </c>
      <c r="C26" s="12">
        <v>18</v>
      </c>
      <c r="D26" s="11" t="s">
        <v>226</v>
      </c>
      <c r="E26" s="12" t="s">
        <v>19</v>
      </c>
      <c r="F26" s="16">
        <v>0.105</v>
      </c>
      <c r="G26" s="17">
        <v>0.4</v>
      </c>
      <c r="H26" s="896"/>
      <c r="I26" s="4" t="s">
        <v>25</v>
      </c>
    </row>
    <row r="27" spans="1:9" ht="24.75" thickBot="1" x14ac:dyDescent="0.3">
      <c r="A27" s="902"/>
      <c r="B27" s="895"/>
      <c r="C27" s="12">
        <v>19</v>
      </c>
      <c r="D27" s="11" t="s">
        <v>227</v>
      </c>
      <c r="E27" s="12" t="s">
        <v>20</v>
      </c>
      <c r="F27" s="16">
        <v>0.40300000000000002</v>
      </c>
      <c r="G27" s="17">
        <v>0.4</v>
      </c>
      <c r="H27" s="896"/>
      <c r="I27" s="4" t="s">
        <v>25</v>
      </c>
    </row>
    <row r="28" spans="1:9" ht="24.6" customHeight="1" thickBot="1" x14ac:dyDescent="0.3">
      <c r="A28" s="901"/>
      <c r="B28" s="63" t="s">
        <v>54</v>
      </c>
      <c r="C28" s="12">
        <v>20</v>
      </c>
      <c r="D28" s="11" t="s">
        <v>228</v>
      </c>
      <c r="E28" s="12" t="s">
        <v>56</v>
      </c>
      <c r="F28" s="16">
        <v>0.35199999999999998</v>
      </c>
      <c r="G28" s="17">
        <v>0.4</v>
      </c>
      <c r="I28" s="3" t="s">
        <v>26</v>
      </c>
    </row>
    <row r="29" spans="1:9" ht="15" customHeight="1" thickBot="1" x14ac:dyDescent="0.3">
      <c r="A29" s="900" t="s">
        <v>57</v>
      </c>
      <c r="B29" s="11" t="s">
        <v>58</v>
      </c>
      <c r="C29" s="12">
        <v>21</v>
      </c>
      <c r="D29" s="11" t="s">
        <v>57</v>
      </c>
      <c r="E29" s="12" t="s">
        <v>21</v>
      </c>
      <c r="F29" s="66">
        <v>0.47</v>
      </c>
      <c r="G29" s="13">
        <v>0.65</v>
      </c>
      <c r="I29" s="5" t="s">
        <v>25</v>
      </c>
    </row>
    <row r="30" spans="1:9" ht="24.75" thickBot="1" x14ac:dyDescent="0.3">
      <c r="A30" s="902"/>
      <c r="B30" s="11" t="s">
        <v>186</v>
      </c>
      <c r="C30" s="12">
        <v>22</v>
      </c>
      <c r="D30" s="11" t="s">
        <v>59</v>
      </c>
      <c r="E30" s="12" t="s">
        <v>22</v>
      </c>
      <c r="F30" s="66">
        <v>0.05</v>
      </c>
      <c r="G30" s="13">
        <v>0.65</v>
      </c>
      <c r="I30" s="5" t="s">
        <v>25</v>
      </c>
    </row>
    <row r="31" spans="1:9" ht="24.6" customHeight="1" thickBot="1" x14ac:dyDescent="0.3">
      <c r="A31" s="901"/>
      <c r="B31" s="63" t="s">
        <v>54</v>
      </c>
      <c r="C31" s="12">
        <v>23</v>
      </c>
      <c r="D31" s="11" t="s">
        <v>60</v>
      </c>
      <c r="E31" s="12" t="s">
        <v>131</v>
      </c>
      <c r="F31" s="66">
        <v>6.8000000000000005E-2</v>
      </c>
      <c r="G31" s="13">
        <v>0.65</v>
      </c>
      <c r="I31" s="5" t="s">
        <v>26</v>
      </c>
    </row>
    <row r="32" spans="1:9" ht="24.75" thickBot="1" x14ac:dyDescent="0.3">
      <c r="A32" s="900" t="s">
        <v>231</v>
      </c>
      <c r="B32" s="11" t="s">
        <v>58</v>
      </c>
      <c r="C32" s="12">
        <v>24</v>
      </c>
      <c r="D32" s="11" t="s">
        <v>229</v>
      </c>
      <c r="E32" s="12" t="s">
        <v>46</v>
      </c>
      <c r="F32" s="16">
        <v>0.30499999999999999</v>
      </c>
      <c r="G32" s="13">
        <v>0.65</v>
      </c>
      <c r="I32" s="5" t="s">
        <v>25</v>
      </c>
    </row>
    <row r="33" spans="1:9" ht="24.75" thickBot="1" x14ac:dyDescent="0.3">
      <c r="A33" s="901"/>
      <c r="B33" s="11" t="s">
        <v>54</v>
      </c>
      <c r="C33" s="12">
        <v>25</v>
      </c>
      <c r="D33" s="11" t="s">
        <v>230</v>
      </c>
      <c r="E33" s="12" t="s">
        <v>45</v>
      </c>
      <c r="F33" s="16">
        <v>0.2</v>
      </c>
      <c r="G33" s="13">
        <v>0.65</v>
      </c>
      <c r="I33" s="5" t="s">
        <v>26</v>
      </c>
    </row>
    <row r="34" spans="1:9" ht="15.75" thickBot="1" x14ac:dyDescent="0.3">
      <c r="A34" s="900" t="s">
        <v>182</v>
      </c>
      <c r="B34" s="11" t="s">
        <v>58</v>
      </c>
      <c r="C34" s="12">
        <v>26</v>
      </c>
      <c r="D34" s="11" t="s">
        <v>182</v>
      </c>
      <c r="E34" s="12" t="s">
        <v>23</v>
      </c>
      <c r="F34" s="16">
        <v>0.53</v>
      </c>
      <c r="G34" s="13">
        <v>0.65</v>
      </c>
      <c r="I34" s="5" t="s">
        <v>25</v>
      </c>
    </row>
    <row r="35" spans="1:9" ht="36" customHeight="1" thickBot="1" x14ac:dyDescent="0.3">
      <c r="A35" s="901"/>
      <c r="B35" s="11" t="s">
        <v>54</v>
      </c>
      <c r="C35" s="12">
        <v>27</v>
      </c>
      <c r="D35" s="11" t="s">
        <v>232</v>
      </c>
      <c r="E35" s="12" t="s">
        <v>24</v>
      </c>
      <c r="F35" s="16">
        <v>0.126</v>
      </c>
      <c r="G35" s="17">
        <v>0.9</v>
      </c>
      <c r="I35" s="5" t="s">
        <v>26</v>
      </c>
    </row>
    <row r="36" spans="1:9" ht="15.75" thickBot="1" x14ac:dyDescent="0.3">
      <c r="A36" s="18" t="s">
        <v>61</v>
      </c>
      <c r="B36" s="9" t="s">
        <v>58</v>
      </c>
      <c r="C36" s="10">
        <v>28</v>
      </c>
      <c r="D36" s="11" t="s">
        <v>61</v>
      </c>
      <c r="E36" s="12" t="s">
        <v>7</v>
      </c>
      <c r="F36" s="16">
        <v>1.605</v>
      </c>
      <c r="G36" s="17">
        <v>0.4</v>
      </c>
      <c r="I36" s="5" t="s">
        <v>25</v>
      </c>
    </row>
    <row r="37" spans="1:9" ht="15.75" thickBot="1" x14ac:dyDescent="0.3">
      <c r="A37" s="18" t="s">
        <v>62</v>
      </c>
      <c r="B37" s="9" t="s">
        <v>58</v>
      </c>
      <c r="C37" s="10">
        <v>29</v>
      </c>
      <c r="D37" s="11" t="s">
        <v>62</v>
      </c>
      <c r="E37" s="12" t="s">
        <v>8</v>
      </c>
      <c r="F37" s="16">
        <v>0.51500000000000001</v>
      </c>
      <c r="G37" s="17">
        <v>0.4</v>
      </c>
      <c r="I37" s="5" t="s">
        <v>25</v>
      </c>
    </row>
    <row r="38" spans="1:9" ht="15.75" thickBot="1" x14ac:dyDescent="0.3">
      <c r="A38" s="890" t="s">
        <v>63</v>
      </c>
      <c r="B38" s="9" t="s">
        <v>58</v>
      </c>
      <c r="C38" s="10">
        <v>30</v>
      </c>
      <c r="D38" s="11" t="s">
        <v>233</v>
      </c>
      <c r="E38" s="12" t="s">
        <v>64</v>
      </c>
      <c r="F38" s="16">
        <v>0.34499999999999997</v>
      </c>
      <c r="G38" s="17">
        <v>0.4</v>
      </c>
      <c r="I38" s="5" t="s">
        <v>25</v>
      </c>
    </row>
    <row r="39" spans="1:9" ht="24.6" customHeight="1" thickBot="1" x14ac:dyDescent="0.3">
      <c r="A39" s="891"/>
      <c r="B39" s="9" t="s">
        <v>58</v>
      </c>
      <c r="C39" s="10">
        <v>31</v>
      </c>
      <c r="D39" s="11" t="s">
        <v>65</v>
      </c>
      <c r="E39" s="12" t="s">
        <v>66</v>
      </c>
      <c r="F39" s="16">
        <v>0.08</v>
      </c>
      <c r="G39" s="17">
        <v>0.9</v>
      </c>
      <c r="I39" s="5" t="s">
        <v>25</v>
      </c>
    </row>
    <row r="40" spans="1:9" ht="36.75" thickBot="1" x14ac:dyDescent="0.3">
      <c r="A40" s="891"/>
      <c r="B40" s="9" t="s">
        <v>54</v>
      </c>
      <c r="C40" s="10">
        <v>32</v>
      </c>
      <c r="D40" s="11" t="s">
        <v>234</v>
      </c>
      <c r="E40" s="12" t="s">
        <v>68</v>
      </c>
      <c r="F40" s="16">
        <v>0.30299999999999999</v>
      </c>
      <c r="G40" s="17">
        <v>0.9</v>
      </c>
      <c r="H40" s="893"/>
      <c r="I40" s="5" t="s">
        <v>26</v>
      </c>
    </row>
    <row r="41" spans="1:9" ht="24.75" thickBot="1" x14ac:dyDescent="0.3">
      <c r="A41" s="892"/>
      <c r="B41" s="9" t="s">
        <v>54</v>
      </c>
      <c r="C41" s="10">
        <v>33</v>
      </c>
      <c r="D41" s="11" t="s">
        <v>67</v>
      </c>
      <c r="E41" s="12" t="s">
        <v>132</v>
      </c>
      <c r="F41" s="16">
        <v>0.12</v>
      </c>
      <c r="G41" s="17">
        <v>0.9</v>
      </c>
      <c r="H41" s="893"/>
      <c r="I41" s="5" t="s">
        <v>26</v>
      </c>
    </row>
    <row r="42" spans="1:9" ht="15.75" thickBot="1" x14ac:dyDescent="0.3">
      <c r="A42" s="890" t="s">
        <v>69</v>
      </c>
      <c r="B42" s="9" t="s">
        <v>58</v>
      </c>
      <c r="C42" s="10">
        <v>34</v>
      </c>
      <c r="D42" s="11" t="s">
        <v>70</v>
      </c>
      <c r="E42" s="12" t="s">
        <v>71</v>
      </c>
      <c r="F42" s="16">
        <v>0.33500000000000002</v>
      </c>
      <c r="G42" s="13">
        <v>0.75</v>
      </c>
      <c r="I42" s="5" t="s">
        <v>25</v>
      </c>
    </row>
    <row r="43" spans="1:9" ht="36.75" thickBot="1" x14ac:dyDescent="0.3">
      <c r="A43" s="892"/>
      <c r="B43" s="9" t="s">
        <v>54</v>
      </c>
      <c r="C43" s="10">
        <v>35</v>
      </c>
      <c r="D43" s="11" t="s">
        <v>235</v>
      </c>
      <c r="E43" s="12" t="s">
        <v>72</v>
      </c>
      <c r="F43" s="16">
        <v>0.26800000000000002</v>
      </c>
      <c r="G43" s="17">
        <v>0.9</v>
      </c>
      <c r="I43" s="5" t="s">
        <v>26</v>
      </c>
    </row>
    <row r="44" spans="1:9" ht="15.75" thickBot="1" x14ac:dyDescent="0.3">
      <c r="A44" s="890" t="s">
        <v>73</v>
      </c>
      <c r="B44" s="9" t="s">
        <v>58</v>
      </c>
      <c r="C44" s="10">
        <v>36</v>
      </c>
      <c r="D44" s="11" t="s">
        <v>237</v>
      </c>
      <c r="E44" s="12" t="s">
        <v>40</v>
      </c>
      <c r="F44" s="16">
        <v>1.5049999999999999</v>
      </c>
      <c r="G44" s="17">
        <v>0.4</v>
      </c>
      <c r="I44" s="5" t="s">
        <v>25</v>
      </c>
    </row>
    <row r="45" spans="1:9" ht="15.75" thickBot="1" x14ac:dyDescent="0.3">
      <c r="A45" s="892"/>
      <c r="B45" s="9" t="s">
        <v>58</v>
      </c>
      <c r="C45" s="10">
        <v>37</v>
      </c>
      <c r="D45" s="11" t="s">
        <v>238</v>
      </c>
      <c r="E45" s="12" t="s">
        <v>41</v>
      </c>
      <c r="F45" s="16">
        <v>1.5049999999999999</v>
      </c>
      <c r="G45" s="17">
        <v>0.4</v>
      </c>
      <c r="I45" s="5" t="s">
        <v>25</v>
      </c>
    </row>
    <row r="46" spans="1:9" ht="27" customHeight="1" thickBot="1" x14ac:dyDescent="0.3">
      <c r="A46" s="18" t="s">
        <v>11</v>
      </c>
      <c r="B46" s="9" t="s">
        <v>236</v>
      </c>
      <c r="C46" s="10">
        <v>38</v>
      </c>
      <c r="D46" s="11" t="s">
        <v>239</v>
      </c>
      <c r="E46" s="12" t="s">
        <v>48</v>
      </c>
      <c r="F46" s="16">
        <v>1.415</v>
      </c>
      <c r="G46" s="17">
        <v>0.4</v>
      </c>
      <c r="I46" s="5" t="s">
        <v>26</v>
      </c>
    </row>
    <row r="47" spans="1:9" x14ac:dyDescent="0.25">
      <c r="A47" s="14"/>
      <c r="H47" s="422" t="s">
        <v>25</v>
      </c>
      <c r="I47" s="423">
        <f>SUMIF(I3:I46,"C",F3:F46)</f>
        <v>23.08</v>
      </c>
    </row>
    <row r="48" spans="1:9" x14ac:dyDescent="0.25">
      <c r="H48" s="422" t="s">
        <v>26</v>
      </c>
      <c r="I48" s="424">
        <f>SUMIF(I3:I46,"EC",F3:F46)</f>
        <v>6.9200000000000008</v>
      </c>
    </row>
    <row r="49" spans="8:9" x14ac:dyDescent="0.25">
      <c r="H49" s="422" t="s">
        <v>1229</v>
      </c>
      <c r="I49" s="425">
        <f>SUM(I47:I48)</f>
        <v>30</v>
      </c>
    </row>
  </sheetData>
  <sheetProtection algorithmName="SHA-512" hashValue="3RJuZ7M55ZDoYdob/QLTgy1aL2EeMkc4tGpMEIPacwyqqX+DOXQF4d9jgvZrYoe6kr0SJLa6PLGEAM3Quzv6mw==" saltValue="XSrRIfCgPTjLQPQvCMVtLA==" spinCount="100000" sheet="1" objects="1" scenarios="1"/>
  <mergeCells count="18">
    <mergeCell ref="A1:I1"/>
    <mergeCell ref="H26:H27"/>
    <mergeCell ref="I18:I24"/>
    <mergeCell ref="A32:A33"/>
    <mergeCell ref="A34:A35"/>
    <mergeCell ref="A29:A31"/>
    <mergeCell ref="B14:B25"/>
    <mergeCell ref="C18:C24"/>
    <mergeCell ref="E18:E24"/>
    <mergeCell ref="F18:F24"/>
    <mergeCell ref="G18:G24"/>
    <mergeCell ref="A3:A13"/>
    <mergeCell ref="A14:A28"/>
    <mergeCell ref="A38:A41"/>
    <mergeCell ref="H40:H41"/>
    <mergeCell ref="A42:A43"/>
    <mergeCell ref="A44:A45"/>
    <mergeCell ref="B26:B27"/>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15"/>
  <dimension ref="A1:BG163"/>
  <sheetViews>
    <sheetView zoomScale="130" zoomScaleNormal="130" workbookViewId="0">
      <pane xSplit="8" ySplit="6" topLeftCell="I73" activePane="bottomRight" state="frozen"/>
      <selection pane="topRight" activeCell="I1" sqref="I1"/>
      <selection pane="bottomLeft" activeCell="A7" sqref="A7"/>
      <selection pane="bottomRight" activeCell="I58" sqref="I58"/>
    </sheetView>
  </sheetViews>
  <sheetFormatPr defaultColWidth="9.140625" defaultRowHeight="11.25" x14ac:dyDescent="0.2"/>
  <cols>
    <col min="1" max="1" width="0.5703125" style="573" customWidth="1"/>
    <col min="2" max="2" width="10.140625" style="99" customWidth="1"/>
    <col min="3" max="3" width="12.85546875" style="99" customWidth="1"/>
    <col min="4" max="4" width="9.85546875" style="99" bestFit="1" customWidth="1"/>
    <col min="5" max="5" width="29" style="99" customWidth="1"/>
    <col min="6" max="6" width="7" style="99" bestFit="1" customWidth="1"/>
    <col min="7" max="7" width="9.140625" style="99" customWidth="1"/>
    <col min="8" max="8" width="14.28515625" style="99" bestFit="1" customWidth="1"/>
    <col min="9" max="28" width="12.5703125" style="573" customWidth="1"/>
    <col min="29" max="29" width="12.42578125" style="99" bestFit="1" customWidth="1"/>
    <col min="30" max="30" width="5.140625" style="99" bestFit="1" customWidth="1"/>
    <col min="31" max="31" width="7.5703125" style="99" bestFit="1" customWidth="1"/>
    <col min="32" max="32" width="12.28515625" style="99" bestFit="1" customWidth="1"/>
    <col min="33" max="33" width="7.5703125" style="99" bestFit="1" customWidth="1"/>
    <col min="34" max="34" width="12.28515625" style="99" bestFit="1" customWidth="1"/>
    <col min="35" max="16384" width="9.140625" style="573"/>
  </cols>
  <sheetData>
    <row r="1" spans="1:59" ht="12" thickBot="1" x14ac:dyDescent="0.25"/>
    <row r="2" spans="1:59" s="264" customFormat="1" ht="12.75" thickBot="1" x14ac:dyDescent="0.3">
      <c r="I2" s="263" t="s">
        <v>308</v>
      </c>
      <c r="J2" s="263" t="s">
        <v>309</v>
      </c>
      <c r="K2" s="263" t="s">
        <v>310</v>
      </c>
      <c r="L2" s="263" t="s">
        <v>311</v>
      </c>
      <c r="M2" s="263" t="s">
        <v>312</v>
      </c>
      <c r="N2" s="263" t="s">
        <v>313</v>
      </c>
      <c r="O2" s="263" t="s">
        <v>314</v>
      </c>
      <c r="P2" s="263" t="s">
        <v>315</v>
      </c>
      <c r="Q2" s="263" t="s">
        <v>316</v>
      </c>
      <c r="R2" s="263" t="s">
        <v>317</v>
      </c>
      <c r="S2" s="263" t="s">
        <v>318</v>
      </c>
      <c r="T2" s="263" t="s">
        <v>319</v>
      </c>
      <c r="U2" s="263" t="s">
        <v>320</v>
      </c>
      <c r="V2" s="263" t="s">
        <v>321</v>
      </c>
      <c r="W2" s="263" t="s">
        <v>322</v>
      </c>
      <c r="X2" s="263" t="s">
        <v>323</v>
      </c>
      <c r="Y2" s="263" t="s">
        <v>324</v>
      </c>
      <c r="Z2" s="263" t="s">
        <v>325</v>
      </c>
      <c r="AA2" s="263" t="s">
        <v>326</v>
      </c>
      <c r="AB2" s="263" t="s">
        <v>327</v>
      </c>
    </row>
    <row r="3" spans="1:59" s="99" customFormat="1" ht="24" customHeight="1" thickBot="1" x14ac:dyDescent="0.25">
      <c r="H3" s="124" t="s">
        <v>1170</v>
      </c>
      <c r="I3" s="487" t="str">
        <f>IF('Elenco immobili'!$C$4="","",'Elenco immobili'!$C$4)</f>
        <v>Sede ICE-AGID</v>
      </c>
      <c r="J3" s="487" t="str">
        <f>IF('Elenco immobili'!$C$5="","",'Elenco immobili'!$C$5)</f>
        <v/>
      </c>
      <c r="K3" s="487" t="str">
        <f>IF('Elenco immobili'!$C$6="","",'Elenco immobili'!$C$6)</f>
        <v/>
      </c>
      <c r="L3" s="487" t="str">
        <f>IF('Elenco immobili'!$C$7="","",'Elenco immobili'!$C$7)</f>
        <v/>
      </c>
      <c r="M3" s="487" t="str">
        <f>IF('Elenco immobili'!$C$8="","",'Elenco immobili'!$C$8)</f>
        <v/>
      </c>
      <c r="N3" s="487" t="str">
        <f>IF('Elenco immobili'!$C$9="","",'Elenco immobili'!$C$9)</f>
        <v/>
      </c>
      <c r="O3" s="487" t="str">
        <f>IF('Elenco immobili'!$C$10="","",'Elenco immobili'!$C$10)</f>
        <v/>
      </c>
      <c r="P3" s="487" t="str">
        <f>IF('Elenco immobili'!$C$11="","",'Elenco immobili'!$C$11)</f>
        <v/>
      </c>
      <c r="Q3" s="487" t="str">
        <f>IF('Elenco immobili'!$C$12="","",'Elenco immobili'!$C$12)</f>
        <v/>
      </c>
      <c r="R3" s="487" t="str">
        <f>IF('Elenco immobili'!$C$13="","",'Elenco immobili'!$C$13)</f>
        <v/>
      </c>
      <c r="S3" s="487" t="str">
        <f>IF('Elenco immobili'!$C$14="","",'Elenco immobili'!$C$14)</f>
        <v/>
      </c>
      <c r="T3" s="487" t="str">
        <f>IF('Elenco immobili'!$C$15="","",'Elenco immobili'!$C$15)</f>
        <v/>
      </c>
      <c r="U3" s="487" t="str">
        <f>IF('Elenco immobili'!$C$16="","",'Elenco immobili'!$C$16)</f>
        <v/>
      </c>
      <c r="V3" s="487" t="str">
        <f>IF('Elenco immobili'!$C$17="","",'Elenco immobili'!$C$17)</f>
        <v/>
      </c>
      <c r="W3" s="487" t="str">
        <f>IF('Elenco immobili'!$C$18="","",'Elenco immobili'!$C$18)</f>
        <v/>
      </c>
      <c r="X3" s="487" t="str">
        <f>IF('Elenco immobili'!$C$19="","",'Elenco immobili'!$C$19)</f>
        <v/>
      </c>
      <c r="Y3" s="487" t="str">
        <f>IF('Elenco immobili'!$C$20="","",'Elenco immobili'!$C$20)</f>
        <v/>
      </c>
      <c r="Z3" s="487" t="str">
        <f>IF('Elenco immobili'!$C$21="","",'Elenco immobili'!$C$21)</f>
        <v/>
      </c>
      <c r="AA3" s="487" t="str">
        <f>IF('Elenco immobili'!$C$22="","",'Elenco immobili'!$C$22)</f>
        <v/>
      </c>
      <c r="AB3" s="487" t="str">
        <f>IF('Elenco immobili'!$C$23="","",'Elenco immobili'!$C$23)</f>
        <v/>
      </c>
    </row>
    <row r="4" spans="1:59" ht="13.5" thickBot="1" x14ac:dyDescent="0.25">
      <c r="B4" s="105" t="s">
        <v>776</v>
      </c>
      <c r="H4" s="125" t="s">
        <v>328</v>
      </c>
      <c r="I4" s="574">
        <v>48</v>
      </c>
      <c r="J4" s="574"/>
      <c r="K4" s="574"/>
      <c r="L4" s="574"/>
      <c r="M4" s="574"/>
      <c r="N4" s="574"/>
      <c r="O4" s="574"/>
      <c r="P4" s="574"/>
      <c r="Q4" s="574"/>
      <c r="R4" s="574"/>
      <c r="S4" s="574"/>
      <c r="T4" s="574"/>
      <c r="U4" s="574"/>
      <c r="V4" s="574"/>
      <c r="W4" s="574"/>
      <c r="X4" s="574"/>
      <c r="Y4" s="574"/>
      <c r="Z4" s="574"/>
      <c r="AA4" s="574"/>
      <c r="AB4" s="574"/>
    </row>
    <row r="5" spans="1:59" ht="3" customHeight="1" thickBot="1" x14ac:dyDescent="0.25">
      <c r="I5" s="102"/>
      <c r="J5" s="102"/>
      <c r="K5" s="102"/>
      <c r="L5" s="102"/>
      <c r="M5" s="102"/>
      <c r="N5" s="102"/>
      <c r="O5" s="102"/>
      <c r="P5" s="102"/>
      <c r="Q5" s="102"/>
      <c r="R5" s="102"/>
      <c r="S5" s="102"/>
      <c r="T5" s="102"/>
      <c r="U5" s="102"/>
      <c r="V5" s="102"/>
      <c r="W5" s="102"/>
      <c r="X5" s="102"/>
      <c r="Y5" s="102"/>
      <c r="Z5" s="102"/>
      <c r="AA5" s="102"/>
      <c r="AB5" s="102"/>
    </row>
    <row r="6" spans="1:59" s="99" customFormat="1" ht="57" thickBot="1" x14ac:dyDescent="0.25">
      <c r="A6" s="101"/>
      <c r="B6" s="121" t="s">
        <v>771</v>
      </c>
      <c r="C6" s="122" t="s">
        <v>778</v>
      </c>
      <c r="D6" s="122" t="s">
        <v>777</v>
      </c>
      <c r="E6" s="122" t="s">
        <v>253</v>
      </c>
      <c r="F6" s="123" t="s">
        <v>779</v>
      </c>
      <c r="G6" s="123" t="s">
        <v>1193</v>
      </c>
      <c r="H6" s="123" t="s">
        <v>1174</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588" t="s">
        <v>307</v>
      </c>
      <c r="AB6" s="588" t="s">
        <v>307</v>
      </c>
      <c r="AC6" s="127" t="s">
        <v>1190</v>
      </c>
      <c r="AD6" s="128" t="s">
        <v>51</v>
      </c>
      <c r="AE6" s="128" t="s">
        <v>143</v>
      </c>
      <c r="AF6" s="128" t="s">
        <v>1191</v>
      </c>
      <c r="AG6" s="128" t="s">
        <v>160</v>
      </c>
      <c r="AH6" s="128" t="s">
        <v>1192</v>
      </c>
      <c r="AI6" s="98"/>
      <c r="AJ6" s="98"/>
      <c r="AK6" s="98"/>
      <c r="AL6" s="98"/>
      <c r="AM6" s="98"/>
      <c r="AN6" s="98"/>
      <c r="AO6" s="98"/>
      <c r="AP6" s="98"/>
      <c r="AQ6" s="98"/>
      <c r="AR6" s="98"/>
      <c r="AS6" s="98"/>
      <c r="AT6" s="98"/>
      <c r="AU6" s="98"/>
      <c r="AV6" s="98"/>
      <c r="AW6" s="98"/>
      <c r="AX6" s="98"/>
      <c r="AY6" s="98"/>
      <c r="AZ6" s="98"/>
      <c r="BA6" s="98"/>
      <c r="BB6" s="98"/>
      <c r="BC6" s="98"/>
      <c r="BD6" s="98"/>
      <c r="BE6" s="98"/>
      <c r="BF6" s="98"/>
      <c r="BG6" s="96"/>
    </row>
    <row r="7" spans="1:59" ht="23.25" thickBot="1" x14ac:dyDescent="0.25">
      <c r="A7" s="575"/>
      <c r="B7" s="995" t="s">
        <v>792</v>
      </c>
      <c r="C7" s="998" t="s">
        <v>780</v>
      </c>
      <c r="D7" s="986" t="s">
        <v>845</v>
      </c>
      <c r="E7" s="996" t="s">
        <v>851</v>
      </c>
      <c r="F7" s="279" t="s">
        <v>869</v>
      </c>
      <c r="G7" s="279" t="s">
        <v>1194</v>
      </c>
      <c r="H7" s="280" t="s">
        <v>876</v>
      </c>
      <c r="I7" s="849">
        <v>17615</v>
      </c>
      <c r="J7" s="454"/>
      <c r="K7" s="454"/>
      <c r="L7" s="454"/>
      <c r="M7" s="454"/>
      <c r="N7" s="454"/>
      <c r="O7" s="454"/>
      <c r="P7" s="454"/>
      <c r="Q7" s="454"/>
      <c r="R7" s="454"/>
      <c r="S7" s="454"/>
      <c r="T7" s="454"/>
      <c r="U7" s="454"/>
      <c r="V7" s="454"/>
      <c r="W7" s="454"/>
      <c r="X7" s="454"/>
      <c r="Y7" s="454"/>
      <c r="Z7" s="454"/>
      <c r="AA7" s="454"/>
      <c r="AB7" s="454"/>
      <c r="AC7" s="132">
        <v>0.38400000000000001</v>
      </c>
      <c r="AD7" s="613" t="s">
        <v>13</v>
      </c>
      <c r="AE7" s="131">
        <f>'Ribassi PE'!$K$14</f>
        <v>0.47</v>
      </c>
      <c r="AF7" s="132">
        <f t="shared" ref="AF7:AF95" si="0">ROUND(AC7*(1-AE7),3)</f>
        <v>0.20399999999999999</v>
      </c>
      <c r="AG7" s="133">
        <f>'Ribassi PE'!$M$14</f>
        <v>0.61370000000000002</v>
      </c>
      <c r="AH7" s="132">
        <f t="shared" ref="AH7:AH95" si="1">ROUND(AC7*(1-AG7),3)</f>
        <v>0.14799999999999999</v>
      </c>
      <c r="AI7" s="576"/>
      <c r="AJ7" s="576"/>
      <c r="AK7" s="576"/>
      <c r="AL7" s="576"/>
      <c r="AM7" s="576"/>
      <c r="AN7" s="576"/>
      <c r="AO7" s="576"/>
      <c r="AP7" s="576"/>
      <c r="AQ7" s="576"/>
      <c r="AR7" s="576"/>
      <c r="AS7" s="576"/>
      <c r="AT7" s="576"/>
      <c r="AU7" s="576"/>
      <c r="AV7" s="576"/>
      <c r="AW7" s="576"/>
      <c r="AX7" s="576"/>
      <c r="AY7" s="576"/>
      <c r="AZ7" s="576"/>
      <c r="BA7" s="576"/>
      <c r="BB7" s="576"/>
      <c r="BC7" s="576"/>
      <c r="BD7" s="576"/>
      <c r="BE7" s="576"/>
      <c r="BF7" s="576"/>
      <c r="BG7" s="577"/>
    </row>
    <row r="8" spans="1:59" ht="23.25" thickBot="1" x14ac:dyDescent="0.25">
      <c r="A8" s="575"/>
      <c r="B8" s="993"/>
      <c r="C8" s="999"/>
      <c r="D8" s="988"/>
      <c r="E8" s="994"/>
      <c r="F8" s="281" t="s">
        <v>869</v>
      </c>
      <c r="G8" s="281" t="s">
        <v>1195</v>
      </c>
      <c r="H8" s="282" t="s">
        <v>876</v>
      </c>
      <c r="I8" s="850"/>
      <c r="J8" s="455"/>
      <c r="K8" s="455"/>
      <c r="L8" s="455"/>
      <c r="M8" s="455"/>
      <c r="N8" s="455"/>
      <c r="O8" s="455"/>
      <c r="P8" s="455"/>
      <c r="Q8" s="455"/>
      <c r="R8" s="455"/>
      <c r="S8" s="455"/>
      <c r="T8" s="455"/>
      <c r="U8" s="455"/>
      <c r="V8" s="455"/>
      <c r="W8" s="455"/>
      <c r="X8" s="455"/>
      <c r="Y8" s="455"/>
      <c r="Z8" s="455"/>
      <c r="AA8" s="455"/>
      <c r="AB8" s="455"/>
      <c r="AC8" s="166">
        <f>1.2*0.384</f>
        <v>0.46079999999999999</v>
      </c>
      <c r="AD8" s="614" t="s">
        <v>13</v>
      </c>
      <c r="AE8" s="165">
        <f>'Ribassi PE'!$K$14</f>
        <v>0.47</v>
      </c>
      <c r="AF8" s="166">
        <f t="shared" ref="AF8" si="2">ROUND(AC8*(1-AE8),3)</f>
        <v>0.24399999999999999</v>
      </c>
      <c r="AG8" s="165">
        <f>'Ribassi PE'!$M$14</f>
        <v>0.61370000000000002</v>
      </c>
      <c r="AH8" s="166">
        <f t="shared" ref="AH8" si="3">ROUND(AC8*(1-AG8),3)</f>
        <v>0.17799999999999999</v>
      </c>
      <c r="AI8" s="576"/>
      <c r="AJ8" s="576"/>
      <c r="AK8" s="576"/>
      <c r="AL8" s="576"/>
      <c r="AM8" s="576"/>
      <c r="AN8" s="576"/>
      <c r="AO8" s="576"/>
      <c r="AP8" s="576"/>
      <c r="AQ8" s="576"/>
      <c r="AR8" s="576"/>
      <c r="AS8" s="576"/>
      <c r="AT8" s="576"/>
      <c r="AU8" s="576"/>
      <c r="AV8" s="576"/>
      <c r="AW8" s="576"/>
      <c r="AX8" s="576"/>
      <c r="AY8" s="576"/>
      <c r="AZ8" s="576"/>
      <c r="BA8" s="576"/>
      <c r="BB8" s="576"/>
      <c r="BC8" s="576"/>
      <c r="BD8" s="576"/>
      <c r="BE8" s="576"/>
      <c r="BF8" s="576"/>
      <c r="BG8" s="577"/>
    </row>
    <row r="9" spans="1:59" ht="23.25" thickBot="1" x14ac:dyDescent="0.25">
      <c r="A9" s="575"/>
      <c r="B9" s="541"/>
      <c r="C9" s="999"/>
      <c r="D9" s="988"/>
      <c r="E9" s="994"/>
      <c r="F9" s="281" t="s">
        <v>869</v>
      </c>
      <c r="G9" s="281" t="s">
        <v>1196</v>
      </c>
      <c r="H9" s="282" t="s">
        <v>876</v>
      </c>
      <c r="I9" s="850"/>
      <c r="J9" s="455"/>
      <c r="K9" s="455"/>
      <c r="L9" s="455"/>
      <c r="M9" s="455"/>
      <c r="N9" s="455"/>
      <c r="O9" s="455"/>
      <c r="P9" s="455"/>
      <c r="Q9" s="455"/>
      <c r="R9" s="455"/>
      <c r="S9" s="455"/>
      <c r="T9" s="455"/>
      <c r="U9" s="455"/>
      <c r="V9" s="455"/>
      <c r="W9" s="455"/>
      <c r="X9" s="455"/>
      <c r="Y9" s="455"/>
      <c r="Z9" s="455"/>
      <c r="AA9" s="455"/>
      <c r="AB9" s="455"/>
      <c r="AC9" s="166">
        <f>1.4*0.384</f>
        <v>0.53759999999999997</v>
      </c>
      <c r="AD9" s="614" t="s">
        <v>13</v>
      </c>
      <c r="AE9" s="165">
        <f>'Ribassi PE'!$K$14</f>
        <v>0.47</v>
      </c>
      <c r="AF9" s="166">
        <f t="shared" ref="AF9" si="4">ROUND(AC9*(1-AE9),3)</f>
        <v>0.28499999999999998</v>
      </c>
      <c r="AG9" s="165">
        <f>'Ribassi PE'!$M$14</f>
        <v>0.61370000000000002</v>
      </c>
      <c r="AH9" s="166">
        <f t="shared" ref="AH9" si="5">ROUND(AC9*(1-AG9),3)</f>
        <v>0.20799999999999999</v>
      </c>
      <c r="AI9" s="576"/>
      <c r="AJ9" s="576"/>
      <c r="AK9" s="576"/>
      <c r="AL9" s="576"/>
      <c r="AM9" s="576"/>
      <c r="AN9" s="576"/>
      <c r="AO9" s="576"/>
      <c r="AP9" s="576"/>
      <c r="AQ9" s="576"/>
      <c r="AR9" s="576"/>
      <c r="AS9" s="576"/>
      <c r="AT9" s="576"/>
      <c r="AU9" s="576"/>
      <c r="AV9" s="576"/>
      <c r="AW9" s="576"/>
      <c r="AX9" s="576"/>
      <c r="AY9" s="576"/>
      <c r="AZ9" s="576"/>
      <c r="BA9" s="576"/>
      <c r="BB9" s="576"/>
      <c r="BC9" s="576"/>
      <c r="BD9" s="576"/>
      <c r="BE9" s="576"/>
      <c r="BF9" s="576"/>
      <c r="BG9" s="577"/>
    </row>
    <row r="10" spans="1:59" ht="12" thickBot="1" x14ac:dyDescent="0.25">
      <c r="A10" s="575"/>
      <c r="B10" s="541" t="s">
        <v>793</v>
      </c>
      <c r="C10" s="999"/>
      <c r="D10" s="988"/>
      <c r="E10" s="543" t="s">
        <v>852</v>
      </c>
      <c r="F10" s="281" t="s">
        <v>870</v>
      </c>
      <c r="G10" s="281"/>
      <c r="H10" s="282" t="s">
        <v>876</v>
      </c>
      <c r="I10" s="850">
        <v>17615</v>
      </c>
      <c r="J10" s="455"/>
      <c r="K10" s="455"/>
      <c r="L10" s="455"/>
      <c r="M10" s="455"/>
      <c r="N10" s="455"/>
      <c r="O10" s="455"/>
      <c r="P10" s="455"/>
      <c r="Q10" s="455"/>
      <c r="R10" s="455"/>
      <c r="S10" s="455"/>
      <c r="T10" s="455"/>
      <c r="U10" s="455"/>
      <c r="V10" s="455"/>
      <c r="W10" s="455"/>
      <c r="X10" s="455"/>
      <c r="Y10" s="455"/>
      <c r="Z10" s="455"/>
      <c r="AA10" s="455"/>
      <c r="AB10" s="455"/>
      <c r="AC10" s="166">
        <v>0.71</v>
      </c>
      <c r="AD10" s="614" t="s">
        <v>13</v>
      </c>
      <c r="AE10" s="165">
        <f>'Ribassi PE'!$K$14</f>
        <v>0.47</v>
      </c>
      <c r="AF10" s="166">
        <f t="shared" si="0"/>
        <v>0.376</v>
      </c>
      <c r="AG10" s="165">
        <f>'Ribassi PE'!$M$14</f>
        <v>0.61370000000000002</v>
      </c>
      <c r="AH10" s="166">
        <f t="shared" si="1"/>
        <v>0.27400000000000002</v>
      </c>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6"/>
      <c r="BF10" s="576"/>
      <c r="BG10" s="577"/>
    </row>
    <row r="11" spans="1:59" ht="34.5" thickBot="1" x14ac:dyDescent="0.25">
      <c r="A11" s="575"/>
      <c r="B11" s="541" t="s">
        <v>794</v>
      </c>
      <c r="C11" s="999"/>
      <c r="D11" s="538" t="s">
        <v>846</v>
      </c>
      <c r="E11" s="543" t="s">
        <v>853</v>
      </c>
      <c r="F11" s="281" t="s">
        <v>870</v>
      </c>
      <c r="G11" s="281"/>
      <c r="H11" s="282" t="s">
        <v>877</v>
      </c>
      <c r="I11" s="850">
        <f>255+544</f>
        <v>799</v>
      </c>
      <c r="J11" s="455"/>
      <c r="K11" s="455"/>
      <c r="L11" s="455"/>
      <c r="M11" s="455"/>
      <c r="N11" s="455"/>
      <c r="O11" s="455"/>
      <c r="P11" s="455"/>
      <c r="Q11" s="455"/>
      <c r="R11" s="455"/>
      <c r="S11" s="455"/>
      <c r="T11" s="455"/>
      <c r="U11" s="455"/>
      <c r="V11" s="455"/>
      <c r="W11" s="455"/>
      <c r="X11" s="455"/>
      <c r="Y11" s="455"/>
      <c r="Z11" s="455"/>
      <c r="AA11" s="455"/>
      <c r="AB11" s="455"/>
      <c r="AC11" s="134">
        <v>11.356999999999999</v>
      </c>
      <c r="AD11" s="614" t="s">
        <v>13</v>
      </c>
      <c r="AE11" s="135">
        <f>'Ribassi PE'!$K$14</f>
        <v>0.47</v>
      </c>
      <c r="AF11" s="136">
        <f t="shared" si="0"/>
        <v>6.0190000000000001</v>
      </c>
      <c r="AG11" s="135">
        <f>'Ribassi PE'!$M$14</f>
        <v>0.61370000000000002</v>
      </c>
      <c r="AH11" s="136">
        <f t="shared" si="1"/>
        <v>4.3869999999999996</v>
      </c>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6"/>
      <c r="BF11" s="576"/>
      <c r="BG11" s="577"/>
    </row>
    <row r="12" spans="1:59" ht="23.25" thickBot="1" x14ac:dyDescent="0.25">
      <c r="A12" s="575"/>
      <c r="B12" s="541" t="s">
        <v>795</v>
      </c>
      <c r="C12" s="999"/>
      <c r="D12" s="538" t="s">
        <v>847</v>
      </c>
      <c r="E12" s="543" t="s">
        <v>854</v>
      </c>
      <c r="F12" s="281" t="s">
        <v>871</v>
      </c>
      <c r="G12" s="281"/>
      <c r="H12" s="282" t="s">
        <v>877</v>
      </c>
      <c r="I12" s="850">
        <f>587-8-5</f>
        <v>574</v>
      </c>
      <c r="J12" s="455"/>
      <c r="K12" s="455"/>
      <c r="L12" s="455"/>
      <c r="M12" s="455"/>
      <c r="N12" s="455"/>
      <c r="O12" s="455"/>
      <c r="P12" s="455"/>
      <c r="Q12" s="455"/>
      <c r="R12" s="455"/>
      <c r="S12" s="455"/>
      <c r="T12" s="455"/>
      <c r="U12" s="455"/>
      <c r="V12" s="455"/>
      <c r="W12" s="455"/>
      <c r="X12" s="455"/>
      <c r="Y12" s="455"/>
      <c r="Z12" s="455"/>
      <c r="AA12" s="455"/>
      <c r="AB12" s="455"/>
      <c r="AC12" s="134">
        <v>0.182</v>
      </c>
      <c r="AD12" s="614" t="s">
        <v>13</v>
      </c>
      <c r="AE12" s="167">
        <f>'Ribassi PE'!$K$14</f>
        <v>0.47</v>
      </c>
      <c r="AF12" s="168">
        <f t="shared" si="0"/>
        <v>9.6000000000000002E-2</v>
      </c>
      <c r="AG12" s="167">
        <f>'Ribassi PE'!$M$14</f>
        <v>0.61370000000000002</v>
      </c>
      <c r="AH12" s="168">
        <f t="shared" si="1"/>
        <v>7.0000000000000007E-2</v>
      </c>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6"/>
      <c r="BF12" s="576"/>
      <c r="BG12" s="577"/>
    </row>
    <row r="13" spans="1:59" ht="23.25" thickBot="1" x14ac:dyDescent="0.25">
      <c r="A13" s="575"/>
      <c r="B13" s="548" t="s">
        <v>796</v>
      </c>
      <c r="C13" s="1000"/>
      <c r="D13" s="539" t="s">
        <v>848</v>
      </c>
      <c r="E13" s="544" t="s">
        <v>855</v>
      </c>
      <c r="F13" s="283" t="s">
        <v>872</v>
      </c>
      <c r="G13" s="283"/>
      <c r="H13" s="284" t="s">
        <v>876</v>
      </c>
      <c r="I13" s="851">
        <f>4003-204-85</f>
        <v>3714</v>
      </c>
      <c r="J13" s="456"/>
      <c r="K13" s="456"/>
      <c r="L13" s="456"/>
      <c r="M13" s="456"/>
      <c r="N13" s="456"/>
      <c r="O13" s="456"/>
      <c r="P13" s="456"/>
      <c r="Q13" s="456"/>
      <c r="R13" s="456"/>
      <c r="S13" s="456"/>
      <c r="T13" s="456"/>
      <c r="U13" s="456"/>
      <c r="V13" s="456"/>
      <c r="W13" s="456"/>
      <c r="X13" s="456"/>
      <c r="Y13" s="456"/>
      <c r="Z13" s="456"/>
      <c r="AA13" s="456"/>
      <c r="AB13" s="456"/>
      <c r="AC13" s="137">
        <v>0.22700000000000001</v>
      </c>
      <c r="AD13" s="615" t="s">
        <v>13</v>
      </c>
      <c r="AE13" s="138">
        <f>'Ribassi PE'!$K$14</f>
        <v>0.47</v>
      </c>
      <c r="AF13" s="139">
        <f t="shared" si="0"/>
        <v>0.12</v>
      </c>
      <c r="AG13" s="138">
        <f>'Ribassi PE'!$M$14</f>
        <v>0.61370000000000002</v>
      </c>
      <c r="AH13" s="139">
        <f t="shared" si="1"/>
        <v>8.7999999999999995E-2</v>
      </c>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6"/>
      <c r="BF13" s="576"/>
      <c r="BG13" s="577"/>
    </row>
    <row r="14" spans="1:59" ht="23.25" thickBot="1" x14ac:dyDescent="0.25">
      <c r="A14" s="575"/>
      <c r="B14" s="995" t="s">
        <v>797</v>
      </c>
      <c r="C14" s="998" t="s">
        <v>781</v>
      </c>
      <c r="D14" s="986" t="s">
        <v>845</v>
      </c>
      <c r="E14" s="996" t="s">
        <v>851</v>
      </c>
      <c r="F14" s="279" t="s">
        <v>869</v>
      </c>
      <c r="G14" s="279" t="s">
        <v>1194</v>
      </c>
      <c r="H14" s="280" t="s">
        <v>876</v>
      </c>
      <c r="I14" s="849">
        <v>3488</v>
      </c>
      <c r="J14" s="454"/>
      <c r="K14" s="454"/>
      <c r="L14" s="454"/>
      <c r="M14" s="454"/>
      <c r="N14" s="454"/>
      <c r="O14" s="454"/>
      <c r="P14" s="454"/>
      <c r="Q14" s="454"/>
      <c r="R14" s="454"/>
      <c r="S14" s="454"/>
      <c r="T14" s="454"/>
      <c r="U14" s="454"/>
      <c r="V14" s="454"/>
      <c r="W14" s="454"/>
      <c r="X14" s="454"/>
      <c r="Y14" s="454"/>
      <c r="Z14" s="454"/>
      <c r="AA14" s="454"/>
      <c r="AB14" s="454"/>
      <c r="AC14" s="248">
        <v>0.38400000000000001</v>
      </c>
      <c r="AD14" s="613" t="s">
        <v>14</v>
      </c>
      <c r="AE14" s="249">
        <f>'Ribassi PE'!$K$15</f>
        <v>0.37</v>
      </c>
      <c r="AF14" s="250">
        <f t="shared" si="0"/>
        <v>0.24199999999999999</v>
      </c>
      <c r="AG14" s="249">
        <f>'Ribassi PE'!$M$15</f>
        <v>0.59530000000000005</v>
      </c>
      <c r="AH14" s="250">
        <f t="shared" si="1"/>
        <v>0.155</v>
      </c>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6"/>
      <c r="BF14" s="576"/>
      <c r="BG14" s="577"/>
    </row>
    <row r="15" spans="1:59" ht="23.25" thickBot="1" x14ac:dyDescent="0.25">
      <c r="A15" s="575"/>
      <c r="B15" s="993"/>
      <c r="C15" s="999"/>
      <c r="D15" s="988"/>
      <c r="E15" s="994"/>
      <c r="F15" s="281" t="s">
        <v>869</v>
      </c>
      <c r="G15" s="281" t="s">
        <v>1195</v>
      </c>
      <c r="H15" s="282" t="s">
        <v>876</v>
      </c>
      <c r="I15" s="859"/>
      <c r="J15" s="461"/>
      <c r="K15" s="461"/>
      <c r="L15" s="461"/>
      <c r="M15" s="461"/>
      <c r="N15" s="461"/>
      <c r="O15" s="461"/>
      <c r="P15" s="461"/>
      <c r="Q15" s="461"/>
      <c r="R15" s="461"/>
      <c r="S15" s="461"/>
      <c r="T15" s="461"/>
      <c r="U15" s="461"/>
      <c r="V15" s="461"/>
      <c r="W15" s="461"/>
      <c r="X15" s="461"/>
      <c r="Y15" s="461"/>
      <c r="Z15" s="461"/>
      <c r="AA15" s="461"/>
      <c r="AB15" s="461"/>
      <c r="AC15" s="265">
        <f>0.384*1.2</f>
        <v>0.46079999999999999</v>
      </c>
      <c r="AD15" s="614" t="s">
        <v>14</v>
      </c>
      <c r="AE15" s="165">
        <f>'Ribassi PE'!$K$15</f>
        <v>0.37</v>
      </c>
      <c r="AF15" s="166">
        <f t="shared" ref="AF15:AF16" si="6">ROUND(AC15*(1-AE15),3)</f>
        <v>0.28999999999999998</v>
      </c>
      <c r="AG15" s="165">
        <f>'Ribassi PE'!$M$15</f>
        <v>0.59530000000000005</v>
      </c>
      <c r="AH15" s="166">
        <f t="shared" ref="AH15:AH16" si="7">ROUND(AC15*(1-AG15),3)</f>
        <v>0.186</v>
      </c>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6"/>
      <c r="BF15" s="576"/>
      <c r="BG15" s="577"/>
    </row>
    <row r="16" spans="1:59" ht="23.25" thickBot="1" x14ac:dyDescent="0.25">
      <c r="A16" s="575"/>
      <c r="B16" s="993"/>
      <c r="C16" s="999"/>
      <c r="D16" s="988"/>
      <c r="E16" s="994"/>
      <c r="F16" s="281" t="s">
        <v>869</v>
      </c>
      <c r="G16" s="281" t="s">
        <v>1196</v>
      </c>
      <c r="H16" s="282" t="s">
        <v>876</v>
      </c>
      <c r="I16" s="859"/>
      <c r="J16" s="461"/>
      <c r="K16" s="461"/>
      <c r="L16" s="461"/>
      <c r="M16" s="461"/>
      <c r="N16" s="461"/>
      <c r="O16" s="461"/>
      <c r="P16" s="461"/>
      <c r="Q16" s="461"/>
      <c r="R16" s="461"/>
      <c r="S16" s="461"/>
      <c r="T16" s="461"/>
      <c r="U16" s="461"/>
      <c r="V16" s="461"/>
      <c r="W16" s="461"/>
      <c r="X16" s="461"/>
      <c r="Y16" s="461"/>
      <c r="Z16" s="461"/>
      <c r="AA16" s="461"/>
      <c r="AB16" s="461"/>
      <c r="AC16" s="265">
        <f>0.384*1.4</f>
        <v>0.53759999999999997</v>
      </c>
      <c r="AD16" s="614" t="s">
        <v>14</v>
      </c>
      <c r="AE16" s="165">
        <f>'Ribassi PE'!$K$15</f>
        <v>0.37</v>
      </c>
      <c r="AF16" s="166">
        <f t="shared" si="6"/>
        <v>0.33900000000000002</v>
      </c>
      <c r="AG16" s="165">
        <f>'Ribassi PE'!$M$15</f>
        <v>0.59530000000000005</v>
      </c>
      <c r="AH16" s="166">
        <f t="shared" si="7"/>
        <v>0.218</v>
      </c>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6"/>
      <c r="BF16" s="576"/>
      <c r="BG16" s="577"/>
    </row>
    <row r="17" spans="1:59" ht="12" thickBot="1" x14ac:dyDescent="0.25">
      <c r="A17" s="575"/>
      <c r="B17" s="541" t="s">
        <v>798</v>
      </c>
      <c r="C17" s="999"/>
      <c r="D17" s="988"/>
      <c r="E17" s="543" t="s">
        <v>852</v>
      </c>
      <c r="F17" s="281" t="s">
        <v>873</v>
      </c>
      <c r="G17" s="281"/>
      <c r="H17" s="282" t="s">
        <v>876</v>
      </c>
      <c r="I17" s="850">
        <v>3488</v>
      </c>
      <c r="J17" s="455"/>
      <c r="K17" s="455"/>
      <c r="L17" s="455"/>
      <c r="M17" s="455"/>
      <c r="N17" s="455"/>
      <c r="O17" s="455"/>
      <c r="P17" s="455"/>
      <c r="Q17" s="455"/>
      <c r="R17" s="455"/>
      <c r="S17" s="455"/>
      <c r="T17" s="455"/>
      <c r="U17" s="455"/>
      <c r="V17" s="455"/>
      <c r="W17" s="455"/>
      <c r="X17" s="455"/>
      <c r="Y17" s="455"/>
      <c r="Z17" s="455"/>
      <c r="AA17" s="455"/>
      <c r="AB17" s="455"/>
      <c r="AC17" s="164">
        <v>0.47399999999999998</v>
      </c>
      <c r="AD17" s="614" t="s">
        <v>14</v>
      </c>
      <c r="AE17" s="165">
        <f>'Ribassi PE'!$K$15</f>
        <v>0.37</v>
      </c>
      <c r="AF17" s="166">
        <f t="shared" si="0"/>
        <v>0.29899999999999999</v>
      </c>
      <c r="AG17" s="165">
        <f>'Ribassi PE'!$M$15</f>
        <v>0.59530000000000005</v>
      </c>
      <c r="AH17" s="166">
        <f t="shared" si="1"/>
        <v>0.192</v>
      </c>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6"/>
      <c r="BF17" s="576"/>
      <c r="BG17" s="577"/>
    </row>
    <row r="18" spans="1:59" ht="23.25" thickBot="1" x14ac:dyDescent="0.25">
      <c r="A18" s="575"/>
      <c r="B18" s="541"/>
      <c r="C18" s="999"/>
      <c r="D18" s="988" t="s">
        <v>849</v>
      </c>
      <c r="E18" s="994" t="s">
        <v>856</v>
      </c>
      <c r="F18" s="281" t="s">
        <v>869</v>
      </c>
      <c r="G18" s="281" t="s">
        <v>1194</v>
      </c>
      <c r="H18" s="282" t="s">
        <v>877</v>
      </c>
      <c r="I18" s="858">
        <f>85+12</f>
        <v>97</v>
      </c>
      <c r="J18" s="460"/>
      <c r="K18" s="460"/>
      <c r="L18" s="460"/>
      <c r="M18" s="460"/>
      <c r="N18" s="460"/>
      <c r="O18" s="460"/>
      <c r="P18" s="460"/>
      <c r="Q18" s="460"/>
      <c r="R18" s="460"/>
      <c r="S18" s="460"/>
      <c r="T18" s="460"/>
      <c r="U18" s="460"/>
      <c r="V18" s="460"/>
      <c r="W18" s="460"/>
      <c r="X18" s="460"/>
      <c r="Y18" s="460"/>
      <c r="Z18" s="460"/>
      <c r="AA18" s="460"/>
      <c r="AB18" s="460"/>
      <c r="AC18" s="271">
        <v>3.8380000000000001</v>
      </c>
      <c r="AD18" s="614" t="s">
        <v>14</v>
      </c>
      <c r="AE18" s="165">
        <f>'Ribassi PE'!$K$15</f>
        <v>0.37</v>
      </c>
      <c r="AF18" s="166">
        <f t="shared" ref="AF18:AF19" si="8">ROUND(AC18*(1-AE18),3)</f>
        <v>2.4180000000000001</v>
      </c>
      <c r="AG18" s="165">
        <f>'Ribassi PE'!$M$15</f>
        <v>0.59530000000000005</v>
      </c>
      <c r="AH18" s="166">
        <f t="shared" ref="AH18:AH19" si="9">ROUND(AC18*(1-AG18),3)</f>
        <v>1.5529999999999999</v>
      </c>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6"/>
      <c r="BF18" s="576"/>
      <c r="BG18" s="577"/>
    </row>
    <row r="19" spans="1:59" ht="23.25" thickBot="1" x14ac:dyDescent="0.25">
      <c r="A19" s="575"/>
      <c r="B19" s="541"/>
      <c r="C19" s="999"/>
      <c r="D19" s="988"/>
      <c r="E19" s="994"/>
      <c r="F19" s="281" t="s">
        <v>869</v>
      </c>
      <c r="G19" s="281" t="s">
        <v>1195</v>
      </c>
      <c r="H19" s="282" t="s">
        <v>877</v>
      </c>
      <c r="I19" s="858"/>
      <c r="J19" s="460"/>
      <c r="K19" s="460"/>
      <c r="L19" s="460"/>
      <c r="M19" s="460"/>
      <c r="N19" s="460"/>
      <c r="O19" s="460"/>
      <c r="P19" s="460"/>
      <c r="Q19" s="460"/>
      <c r="R19" s="460"/>
      <c r="S19" s="460"/>
      <c r="T19" s="460"/>
      <c r="U19" s="460"/>
      <c r="V19" s="460"/>
      <c r="W19" s="460"/>
      <c r="X19" s="460"/>
      <c r="Y19" s="460"/>
      <c r="Z19" s="460"/>
      <c r="AA19" s="460"/>
      <c r="AB19" s="460"/>
      <c r="AC19" s="271">
        <f>3.838*1.2</f>
        <v>4.6055999999999999</v>
      </c>
      <c r="AD19" s="614" t="s">
        <v>14</v>
      </c>
      <c r="AE19" s="165">
        <f>'Ribassi PE'!$K$15</f>
        <v>0.37</v>
      </c>
      <c r="AF19" s="166">
        <f t="shared" si="8"/>
        <v>2.9020000000000001</v>
      </c>
      <c r="AG19" s="165">
        <f>'Ribassi PE'!$M$15</f>
        <v>0.59530000000000005</v>
      </c>
      <c r="AH19" s="166">
        <f t="shared" si="9"/>
        <v>1.8640000000000001</v>
      </c>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6"/>
      <c r="BF19" s="576"/>
      <c r="BG19" s="577"/>
    </row>
    <row r="20" spans="1:59" ht="23.25" thickBot="1" x14ac:dyDescent="0.25">
      <c r="A20" s="575"/>
      <c r="B20" s="548" t="s">
        <v>799</v>
      </c>
      <c r="C20" s="1000"/>
      <c r="D20" s="989"/>
      <c r="E20" s="997"/>
      <c r="F20" s="283" t="s">
        <v>869</v>
      </c>
      <c r="G20" s="283" t="s">
        <v>1196</v>
      </c>
      <c r="H20" s="284" t="s">
        <v>877</v>
      </c>
      <c r="I20" s="851"/>
      <c r="J20" s="456"/>
      <c r="K20" s="456"/>
      <c r="L20" s="456"/>
      <c r="M20" s="456"/>
      <c r="N20" s="456"/>
      <c r="O20" s="456"/>
      <c r="P20" s="456"/>
      <c r="Q20" s="456"/>
      <c r="R20" s="456"/>
      <c r="S20" s="456"/>
      <c r="T20" s="456"/>
      <c r="U20" s="456"/>
      <c r="V20" s="456"/>
      <c r="W20" s="456"/>
      <c r="X20" s="456"/>
      <c r="Y20" s="456"/>
      <c r="Z20" s="456"/>
      <c r="AA20" s="456"/>
      <c r="AB20" s="456"/>
      <c r="AC20" s="251">
        <f>1.4*3.838</f>
        <v>5.3731999999999998</v>
      </c>
      <c r="AD20" s="615" t="s">
        <v>14</v>
      </c>
      <c r="AE20" s="138">
        <f>'Ribassi PE'!$K$15</f>
        <v>0.37</v>
      </c>
      <c r="AF20" s="252">
        <f t="shared" si="0"/>
        <v>3.3849999999999998</v>
      </c>
      <c r="AG20" s="138">
        <f>'Ribassi PE'!$M$15</f>
        <v>0.59530000000000005</v>
      </c>
      <c r="AH20" s="252">
        <f t="shared" si="1"/>
        <v>2.1749999999999998</v>
      </c>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6"/>
      <c r="BF20" s="576"/>
      <c r="BG20" s="577"/>
    </row>
    <row r="21" spans="1:59" ht="23.25" thickBot="1" x14ac:dyDescent="0.25">
      <c r="A21" s="575"/>
      <c r="B21" s="995" t="s">
        <v>800</v>
      </c>
      <c r="C21" s="998" t="s">
        <v>782</v>
      </c>
      <c r="D21" s="986" t="s">
        <v>845</v>
      </c>
      <c r="E21" s="996" t="s">
        <v>851</v>
      </c>
      <c r="F21" s="279" t="s">
        <v>869</v>
      </c>
      <c r="G21" s="279" t="s">
        <v>1194</v>
      </c>
      <c r="H21" s="280" t="s">
        <v>876</v>
      </c>
      <c r="I21" s="859">
        <v>970</v>
      </c>
      <c r="J21" s="461"/>
      <c r="K21" s="461"/>
      <c r="L21" s="461"/>
      <c r="M21" s="461"/>
      <c r="N21" s="461"/>
      <c r="O21" s="461"/>
      <c r="P21" s="461"/>
      <c r="Q21" s="461"/>
      <c r="R21" s="461"/>
      <c r="S21" s="461"/>
      <c r="T21" s="461"/>
      <c r="U21" s="461"/>
      <c r="V21" s="461"/>
      <c r="W21" s="461"/>
      <c r="X21" s="461"/>
      <c r="Y21" s="461"/>
      <c r="Z21" s="461"/>
      <c r="AA21" s="461"/>
      <c r="AB21" s="461"/>
      <c r="AC21" s="265">
        <v>0.38400000000000001</v>
      </c>
      <c r="AD21" s="614" t="s">
        <v>15</v>
      </c>
      <c r="AE21" s="266">
        <f>'Ribassi PE'!$K$16</f>
        <v>0.17</v>
      </c>
      <c r="AF21" s="267">
        <f t="shared" si="0"/>
        <v>0.31900000000000001</v>
      </c>
      <c r="AG21" s="266">
        <f>'Ribassi PE'!$M$16</f>
        <v>0.50429999999999997</v>
      </c>
      <c r="AH21" s="267">
        <f t="shared" si="1"/>
        <v>0.19</v>
      </c>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6"/>
      <c r="BF21" s="576"/>
      <c r="BG21" s="577"/>
    </row>
    <row r="22" spans="1:59" ht="23.25" thickBot="1" x14ac:dyDescent="0.25">
      <c r="A22" s="575"/>
      <c r="B22" s="993"/>
      <c r="C22" s="999"/>
      <c r="D22" s="988"/>
      <c r="E22" s="994"/>
      <c r="F22" s="281" t="s">
        <v>869</v>
      </c>
      <c r="G22" s="281" t="s">
        <v>1195</v>
      </c>
      <c r="H22" s="282" t="s">
        <v>876</v>
      </c>
      <c r="I22" s="859"/>
      <c r="J22" s="461"/>
      <c r="K22" s="461"/>
      <c r="L22" s="461"/>
      <c r="M22" s="461"/>
      <c r="N22" s="461"/>
      <c r="O22" s="461"/>
      <c r="P22" s="461"/>
      <c r="Q22" s="461"/>
      <c r="R22" s="461"/>
      <c r="S22" s="461"/>
      <c r="T22" s="461"/>
      <c r="U22" s="461"/>
      <c r="V22" s="461"/>
      <c r="W22" s="461"/>
      <c r="X22" s="461"/>
      <c r="Y22" s="461"/>
      <c r="Z22" s="461"/>
      <c r="AA22" s="461"/>
      <c r="AB22" s="461"/>
      <c r="AC22" s="265">
        <f>0.384*1.2</f>
        <v>0.46079999999999999</v>
      </c>
      <c r="AD22" s="614" t="s">
        <v>15</v>
      </c>
      <c r="AE22" s="165">
        <f>'Ribassi PE'!$K$16</f>
        <v>0.17</v>
      </c>
      <c r="AF22" s="166">
        <f t="shared" ref="AF22:AF23" si="10">ROUND(AC22*(1-AE22),3)</f>
        <v>0.38200000000000001</v>
      </c>
      <c r="AG22" s="165">
        <f>'Ribassi PE'!$M$16</f>
        <v>0.50429999999999997</v>
      </c>
      <c r="AH22" s="166">
        <f t="shared" ref="AH22:AH23" si="11">ROUND(AC22*(1-AG22),3)</f>
        <v>0.22800000000000001</v>
      </c>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6"/>
      <c r="BF22" s="576"/>
      <c r="BG22" s="577"/>
    </row>
    <row r="23" spans="1:59" ht="23.25" thickBot="1" x14ac:dyDescent="0.25">
      <c r="A23" s="575"/>
      <c r="B23" s="993"/>
      <c r="C23" s="999"/>
      <c r="D23" s="988"/>
      <c r="E23" s="994"/>
      <c r="F23" s="281" t="s">
        <v>869</v>
      </c>
      <c r="G23" s="281" t="s">
        <v>1196</v>
      </c>
      <c r="H23" s="282" t="s">
        <v>876</v>
      </c>
      <c r="I23" s="859"/>
      <c r="J23" s="461"/>
      <c r="K23" s="461"/>
      <c r="L23" s="461"/>
      <c r="M23" s="461"/>
      <c r="N23" s="461"/>
      <c r="O23" s="461"/>
      <c r="P23" s="461"/>
      <c r="Q23" s="461"/>
      <c r="R23" s="461"/>
      <c r="S23" s="461"/>
      <c r="T23" s="461"/>
      <c r="U23" s="461"/>
      <c r="V23" s="461"/>
      <c r="W23" s="461"/>
      <c r="X23" s="461"/>
      <c r="Y23" s="461"/>
      <c r="Z23" s="461"/>
      <c r="AA23" s="461"/>
      <c r="AB23" s="461"/>
      <c r="AC23" s="265">
        <f>0.384*1.4</f>
        <v>0.53759999999999997</v>
      </c>
      <c r="AD23" s="614" t="s">
        <v>15</v>
      </c>
      <c r="AE23" s="165">
        <f>'Ribassi PE'!$K$16</f>
        <v>0.17</v>
      </c>
      <c r="AF23" s="166">
        <f t="shared" si="10"/>
        <v>0.44600000000000001</v>
      </c>
      <c r="AG23" s="165">
        <f>'Ribassi PE'!$M$16</f>
        <v>0.50429999999999997</v>
      </c>
      <c r="AH23" s="166">
        <f t="shared" si="11"/>
        <v>0.26600000000000001</v>
      </c>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6"/>
      <c r="BF23" s="576"/>
      <c r="BG23" s="577"/>
    </row>
    <row r="24" spans="1:59" ht="23.25" thickBot="1" x14ac:dyDescent="0.25">
      <c r="A24" s="575"/>
      <c r="B24" s="993" t="s">
        <v>801</v>
      </c>
      <c r="C24" s="999"/>
      <c r="D24" s="988"/>
      <c r="E24" s="994" t="s">
        <v>852</v>
      </c>
      <c r="F24" s="281" t="s">
        <v>869</v>
      </c>
      <c r="G24" s="281" t="s">
        <v>1194</v>
      </c>
      <c r="H24" s="282" t="s">
        <v>876</v>
      </c>
      <c r="I24" s="850">
        <v>970</v>
      </c>
      <c r="J24" s="455"/>
      <c r="K24" s="455"/>
      <c r="L24" s="455"/>
      <c r="M24" s="455"/>
      <c r="N24" s="455"/>
      <c r="O24" s="455"/>
      <c r="P24" s="455"/>
      <c r="Q24" s="455"/>
      <c r="R24" s="455"/>
      <c r="S24" s="455"/>
      <c r="T24" s="455"/>
      <c r="U24" s="455"/>
      <c r="V24" s="455"/>
      <c r="W24" s="455"/>
      <c r="X24" s="455"/>
      <c r="Y24" s="455"/>
      <c r="Z24" s="455"/>
      <c r="AA24" s="455"/>
      <c r="AB24" s="455"/>
      <c r="AC24" s="164">
        <v>1.151</v>
      </c>
      <c r="AD24" s="614" t="s">
        <v>15</v>
      </c>
      <c r="AE24" s="165">
        <f>'Ribassi PE'!$K$16</f>
        <v>0.17</v>
      </c>
      <c r="AF24" s="166">
        <f t="shared" si="0"/>
        <v>0.95499999999999996</v>
      </c>
      <c r="AG24" s="165">
        <f>'Ribassi PE'!$M$16</f>
        <v>0.50429999999999997</v>
      </c>
      <c r="AH24" s="166">
        <f t="shared" si="1"/>
        <v>0.57099999999999995</v>
      </c>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6"/>
      <c r="BF24" s="576"/>
      <c r="BG24" s="577"/>
    </row>
    <row r="25" spans="1:59" ht="23.25" thickBot="1" x14ac:dyDescent="0.25">
      <c r="A25" s="575"/>
      <c r="B25" s="993"/>
      <c r="C25" s="999"/>
      <c r="D25" s="988"/>
      <c r="E25" s="994"/>
      <c r="F25" s="281" t="s">
        <v>869</v>
      </c>
      <c r="G25" s="281" t="s">
        <v>1195</v>
      </c>
      <c r="H25" s="282" t="s">
        <v>876</v>
      </c>
      <c r="I25" s="850"/>
      <c r="J25" s="455"/>
      <c r="K25" s="455"/>
      <c r="L25" s="455"/>
      <c r="M25" s="455"/>
      <c r="N25" s="455"/>
      <c r="O25" s="455"/>
      <c r="P25" s="455"/>
      <c r="Q25" s="455"/>
      <c r="R25" s="455"/>
      <c r="S25" s="455"/>
      <c r="T25" s="455"/>
      <c r="U25" s="455"/>
      <c r="V25" s="455"/>
      <c r="W25" s="455"/>
      <c r="X25" s="455"/>
      <c r="Y25" s="455"/>
      <c r="Z25" s="455"/>
      <c r="AA25" s="455"/>
      <c r="AB25" s="455"/>
      <c r="AC25" s="164">
        <f>1.2*1.151</f>
        <v>1.3812</v>
      </c>
      <c r="AD25" s="614" t="s">
        <v>15</v>
      </c>
      <c r="AE25" s="165">
        <f>'Ribassi PE'!$K$16</f>
        <v>0.17</v>
      </c>
      <c r="AF25" s="166">
        <f t="shared" ref="AF25" si="12">ROUND(AC25*(1-AE25),3)</f>
        <v>1.1459999999999999</v>
      </c>
      <c r="AG25" s="165">
        <f>'Ribassi PE'!$M$16</f>
        <v>0.50429999999999997</v>
      </c>
      <c r="AH25" s="166">
        <f t="shared" ref="AH25" si="13">ROUND(AC25*(1-AG25),3)</f>
        <v>0.68500000000000005</v>
      </c>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6"/>
      <c r="BF25" s="576"/>
      <c r="BG25" s="577"/>
    </row>
    <row r="26" spans="1:59" ht="23.25" thickBot="1" x14ac:dyDescent="0.25">
      <c r="A26" s="575"/>
      <c r="B26" s="993"/>
      <c r="C26" s="999"/>
      <c r="D26" s="988"/>
      <c r="E26" s="994"/>
      <c r="F26" s="281" t="s">
        <v>869</v>
      </c>
      <c r="G26" s="281" t="s">
        <v>1196</v>
      </c>
      <c r="H26" s="282" t="s">
        <v>876</v>
      </c>
      <c r="I26" s="850"/>
      <c r="J26" s="455"/>
      <c r="K26" s="455"/>
      <c r="L26" s="455"/>
      <c r="M26" s="455"/>
      <c r="N26" s="455"/>
      <c r="O26" s="455"/>
      <c r="P26" s="455"/>
      <c r="Q26" s="455"/>
      <c r="R26" s="455"/>
      <c r="S26" s="455"/>
      <c r="T26" s="455"/>
      <c r="U26" s="455"/>
      <c r="V26" s="455"/>
      <c r="W26" s="455"/>
      <c r="X26" s="455"/>
      <c r="Y26" s="455"/>
      <c r="Z26" s="455"/>
      <c r="AA26" s="455"/>
      <c r="AB26" s="455"/>
      <c r="AC26" s="164">
        <f>1.4*1.151</f>
        <v>1.6113999999999999</v>
      </c>
      <c r="AD26" s="614" t="s">
        <v>15</v>
      </c>
      <c r="AE26" s="165">
        <f>'Ribassi PE'!$K$16</f>
        <v>0.17</v>
      </c>
      <c r="AF26" s="166">
        <f t="shared" ref="AF26" si="14">ROUND(AC26*(1-AE26),3)</f>
        <v>1.337</v>
      </c>
      <c r="AG26" s="165">
        <f>'Ribassi PE'!$M$16</f>
        <v>0.50429999999999997</v>
      </c>
      <c r="AH26" s="166">
        <f t="shared" ref="AH26" si="15">ROUND(AC26*(1-AG26),3)</f>
        <v>0.79900000000000004</v>
      </c>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6"/>
      <c r="BF26" s="576"/>
      <c r="BG26" s="577"/>
    </row>
    <row r="27" spans="1:59" ht="21" customHeight="1" thickBot="1" x14ac:dyDescent="0.25">
      <c r="A27" s="575"/>
      <c r="B27" s="993" t="s">
        <v>802</v>
      </c>
      <c r="C27" s="999"/>
      <c r="D27" s="988" t="s">
        <v>849</v>
      </c>
      <c r="E27" s="994" t="s">
        <v>856</v>
      </c>
      <c r="F27" s="281" t="s">
        <v>869</v>
      </c>
      <c r="G27" s="281" t="s">
        <v>1194</v>
      </c>
      <c r="H27" s="282" t="s">
        <v>877</v>
      </c>
      <c r="I27" s="850">
        <f>74+38</f>
        <v>112</v>
      </c>
      <c r="J27" s="455"/>
      <c r="K27" s="455"/>
      <c r="L27" s="455"/>
      <c r="M27" s="455"/>
      <c r="N27" s="455"/>
      <c r="O27" s="455"/>
      <c r="P27" s="455"/>
      <c r="Q27" s="455"/>
      <c r="R27" s="455"/>
      <c r="S27" s="455"/>
      <c r="T27" s="455"/>
      <c r="U27" s="455"/>
      <c r="V27" s="455"/>
      <c r="W27" s="455"/>
      <c r="X27" s="455"/>
      <c r="Y27" s="455"/>
      <c r="Z27" s="455"/>
      <c r="AA27" s="455"/>
      <c r="AB27" s="455"/>
      <c r="AC27" s="134">
        <v>3.8380000000000001</v>
      </c>
      <c r="AD27" s="614" t="s">
        <v>15</v>
      </c>
      <c r="AE27" s="135">
        <f>'Ribassi PE'!$K$16</f>
        <v>0.17</v>
      </c>
      <c r="AF27" s="136">
        <f t="shared" si="0"/>
        <v>3.1859999999999999</v>
      </c>
      <c r="AG27" s="135">
        <f>'Ribassi PE'!$M$16</f>
        <v>0.50429999999999997</v>
      </c>
      <c r="AH27" s="136">
        <f t="shared" si="1"/>
        <v>1.9019999999999999</v>
      </c>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6"/>
      <c r="BF27" s="576"/>
      <c r="BG27" s="577"/>
    </row>
    <row r="28" spans="1:59" ht="21" customHeight="1" thickBot="1" x14ac:dyDescent="0.25">
      <c r="A28" s="575"/>
      <c r="B28" s="993"/>
      <c r="C28" s="999"/>
      <c r="D28" s="988"/>
      <c r="E28" s="994"/>
      <c r="F28" s="281" t="s">
        <v>869</v>
      </c>
      <c r="G28" s="281" t="s">
        <v>1195</v>
      </c>
      <c r="H28" s="282" t="s">
        <v>877</v>
      </c>
      <c r="I28" s="850"/>
      <c r="J28" s="455"/>
      <c r="K28" s="455"/>
      <c r="L28" s="455"/>
      <c r="M28" s="455"/>
      <c r="N28" s="455"/>
      <c r="O28" s="455"/>
      <c r="P28" s="455"/>
      <c r="Q28" s="455"/>
      <c r="R28" s="455"/>
      <c r="S28" s="455"/>
      <c r="T28" s="455"/>
      <c r="U28" s="455"/>
      <c r="V28" s="455"/>
      <c r="W28" s="455"/>
      <c r="X28" s="455"/>
      <c r="Y28" s="455"/>
      <c r="Z28" s="455"/>
      <c r="AA28" s="455"/>
      <c r="AB28" s="455"/>
      <c r="AC28" s="134">
        <f>1.2*3.838</f>
        <v>4.6055999999999999</v>
      </c>
      <c r="AD28" s="614" t="s">
        <v>15</v>
      </c>
      <c r="AE28" s="135">
        <f>'Ribassi PE'!$K$16</f>
        <v>0.17</v>
      </c>
      <c r="AF28" s="136">
        <f t="shared" ref="AF28" si="16">ROUND(AC28*(1-AE28),3)</f>
        <v>3.823</v>
      </c>
      <c r="AG28" s="135">
        <f>'Ribassi PE'!$M$16</f>
        <v>0.50429999999999997</v>
      </c>
      <c r="AH28" s="136">
        <f t="shared" ref="AH28" si="17">ROUND(AC28*(1-AG28),3)</f>
        <v>2.2829999999999999</v>
      </c>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6"/>
      <c r="BF28" s="576"/>
      <c r="BG28" s="577"/>
    </row>
    <row r="29" spans="1:59" ht="21" customHeight="1" thickBot="1" x14ac:dyDescent="0.25">
      <c r="A29" s="575"/>
      <c r="B29" s="993"/>
      <c r="C29" s="999"/>
      <c r="D29" s="988"/>
      <c r="E29" s="994"/>
      <c r="F29" s="281" t="s">
        <v>869</v>
      </c>
      <c r="G29" s="281" t="s">
        <v>1196</v>
      </c>
      <c r="H29" s="282" t="s">
        <v>877</v>
      </c>
      <c r="I29" s="850"/>
      <c r="J29" s="455"/>
      <c r="K29" s="455"/>
      <c r="L29" s="455"/>
      <c r="M29" s="455"/>
      <c r="N29" s="455"/>
      <c r="O29" s="455"/>
      <c r="P29" s="455"/>
      <c r="Q29" s="455"/>
      <c r="R29" s="455"/>
      <c r="S29" s="455"/>
      <c r="T29" s="455"/>
      <c r="U29" s="455"/>
      <c r="V29" s="455"/>
      <c r="W29" s="455"/>
      <c r="X29" s="455"/>
      <c r="Y29" s="455"/>
      <c r="Z29" s="455"/>
      <c r="AA29" s="455"/>
      <c r="AB29" s="455"/>
      <c r="AC29" s="134">
        <f>1.4*3.838</f>
        <v>5.3731999999999998</v>
      </c>
      <c r="AD29" s="614" t="s">
        <v>15</v>
      </c>
      <c r="AE29" s="135">
        <f>'Ribassi PE'!$K$16</f>
        <v>0.17</v>
      </c>
      <c r="AF29" s="136">
        <f t="shared" ref="AF29" si="18">ROUND(AC29*(1-AE29),3)</f>
        <v>4.46</v>
      </c>
      <c r="AG29" s="135">
        <f>'Ribassi PE'!$M$16</f>
        <v>0.50429999999999997</v>
      </c>
      <c r="AH29" s="136">
        <f t="shared" ref="AH29" si="19">ROUND(AC29*(1-AG29),3)</f>
        <v>2.6629999999999998</v>
      </c>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6"/>
      <c r="BF29" s="576"/>
      <c r="BG29" s="577"/>
    </row>
    <row r="30" spans="1:59" ht="23.25" thickBot="1" x14ac:dyDescent="0.25">
      <c r="A30" s="575"/>
      <c r="B30" s="541" t="s">
        <v>803</v>
      </c>
      <c r="C30" s="999"/>
      <c r="D30" s="538" t="s">
        <v>847</v>
      </c>
      <c r="E30" s="543" t="s">
        <v>854</v>
      </c>
      <c r="F30" s="281" t="s">
        <v>871</v>
      </c>
      <c r="G30" s="281"/>
      <c r="H30" s="282" t="s">
        <v>877</v>
      </c>
      <c r="I30" s="850">
        <f>93+73</f>
        <v>166</v>
      </c>
      <c r="J30" s="455"/>
      <c r="K30" s="455"/>
      <c r="L30" s="455"/>
      <c r="M30" s="455"/>
      <c r="N30" s="455"/>
      <c r="O30" s="455"/>
      <c r="P30" s="455"/>
      <c r="Q30" s="455"/>
      <c r="R30" s="455"/>
      <c r="S30" s="455"/>
      <c r="T30" s="455"/>
      <c r="U30" s="455"/>
      <c r="V30" s="455"/>
      <c r="W30" s="455"/>
      <c r="X30" s="455"/>
      <c r="Y30" s="455"/>
      <c r="Z30" s="455"/>
      <c r="AA30" s="455"/>
      <c r="AB30" s="455"/>
      <c r="AC30" s="164">
        <v>0.182</v>
      </c>
      <c r="AD30" s="614" t="s">
        <v>15</v>
      </c>
      <c r="AE30" s="165">
        <f>'Ribassi PE'!$K$16</f>
        <v>0.17</v>
      </c>
      <c r="AF30" s="166">
        <f t="shared" ref="AF30:AF59" si="20">ROUND(AC30*(1-AE30),3)</f>
        <v>0.151</v>
      </c>
      <c r="AG30" s="165">
        <f>'Ribassi PE'!$M$16</f>
        <v>0.50429999999999997</v>
      </c>
      <c r="AH30" s="166">
        <f t="shared" ref="AH30:AH59" si="21">ROUND(AC30*(1-AG30),3)</f>
        <v>0.09</v>
      </c>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6"/>
      <c r="BF30" s="576"/>
      <c r="BG30" s="577"/>
    </row>
    <row r="31" spans="1:59" ht="23.25" thickBot="1" x14ac:dyDescent="0.25">
      <c r="A31" s="575"/>
      <c r="B31" s="541" t="s">
        <v>804</v>
      </c>
      <c r="C31" s="999"/>
      <c r="D31" s="538" t="s">
        <v>848</v>
      </c>
      <c r="E31" s="543" t="s">
        <v>857</v>
      </c>
      <c r="F31" s="281" t="s">
        <v>874</v>
      </c>
      <c r="G31" s="281"/>
      <c r="H31" s="282" t="s">
        <v>876</v>
      </c>
      <c r="I31" s="850"/>
      <c r="J31" s="455"/>
      <c r="K31" s="455"/>
      <c r="L31" s="455"/>
      <c r="M31" s="455"/>
      <c r="N31" s="455"/>
      <c r="O31" s="455"/>
      <c r="P31" s="455"/>
      <c r="Q31" s="455"/>
      <c r="R31" s="455"/>
      <c r="S31" s="455"/>
      <c r="T31" s="455"/>
      <c r="U31" s="455"/>
      <c r="V31" s="455"/>
      <c r="W31" s="455"/>
      <c r="X31" s="455"/>
      <c r="Y31" s="455"/>
      <c r="Z31" s="455"/>
      <c r="AA31" s="455"/>
      <c r="AB31" s="455"/>
      <c r="AC31" s="134">
        <v>0.45600000000000002</v>
      </c>
      <c r="AD31" s="614" t="s">
        <v>15</v>
      </c>
      <c r="AE31" s="135">
        <f>'Ribassi PE'!$K$16</f>
        <v>0.17</v>
      </c>
      <c r="AF31" s="136">
        <f t="shared" si="20"/>
        <v>0.378</v>
      </c>
      <c r="AG31" s="135">
        <f>'Ribassi PE'!$M$16</f>
        <v>0.50429999999999997</v>
      </c>
      <c r="AH31" s="136">
        <f t="shared" si="21"/>
        <v>0.22600000000000001</v>
      </c>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6"/>
      <c r="BF31" s="576"/>
      <c r="BG31" s="577"/>
    </row>
    <row r="32" spans="1:59" ht="23.25" thickBot="1" x14ac:dyDescent="0.25">
      <c r="A32" s="575"/>
      <c r="B32" s="993" t="s">
        <v>805</v>
      </c>
      <c r="C32" s="999"/>
      <c r="D32" s="988" t="s">
        <v>850</v>
      </c>
      <c r="E32" s="994" t="s">
        <v>858</v>
      </c>
      <c r="F32" s="281" t="s">
        <v>869</v>
      </c>
      <c r="G32" s="281" t="s">
        <v>1194</v>
      </c>
      <c r="H32" s="282" t="s">
        <v>877</v>
      </c>
      <c r="I32" s="850">
        <f>138+84</f>
        <v>222</v>
      </c>
      <c r="J32" s="455"/>
      <c r="K32" s="455"/>
      <c r="L32" s="455"/>
      <c r="M32" s="455"/>
      <c r="N32" s="455"/>
      <c r="O32" s="455"/>
      <c r="P32" s="455"/>
      <c r="Q32" s="455"/>
      <c r="R32" s="455"/>
      <c r="S32" s="455"/>
      <c r="T32" s="455"/>
      <c r="U32" s="455"/>
      <c r="V32" s="455"/>
      <c r="W32" s="455"/>
      <c r="X32" s="455"/>
      <c r="Y32" s="455"/>
      <c r="Z32" s="455"/>
      <c r="AA32" s="455"/>
      <c r="AB32" s="455"/>
      <c r="AC32" s="134">
        <v>23.024999999999999</v>
      </c>
      <c r="AD32" s="614" t="s">
        <v>15</v>
      </c>
      <c r="AE32" s="167">
        <f>'Ribassi PE'!$K$16</f>
        <v>0.17</v>
      </c>
      <c r="AF32" s="168">
        <f t="shared" si="20"/>
        <v>19.111000000000001</v>
      </c>
      <c r="AG32" s="167">
        <f>'Ribassi PE'!$M$16</f>
        <v>0.50429999999999997</v>
      </c>
      <c r="AH32" s="168">
        <f t="shared" si="21"/>
        <v>11.413</v>
      </c>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6"/>
      <c r="BF32" s="576"/>
      <c r="BG32" s="577"/>
    </row>
    <row r="33" spans="1:59" ht="23.25" thickBot="1" x14ac:dyDescent="0.25">
      <c r="A33" s="575"/>
      <c r="B33" s="993"/>
      <c r="C33" s="999"/>
      <c r="D33" s="988"/>
      <c r="E33" s="994"/>
      <c r="F33" s="281" t="s">
        <v>869</v>
      </c>
      <c r="G33" s="281" t="s">
        <v>1195</v>
      </c>
      <c r="H33" s="282" t="s">
        <v>877</v>
      </c>
      <c r="I33" s="850"/>
      <c r="J33" s="455"/>
      <c r="K33" s="455"/>
      <c r="L33" s="455"/>
      <c r="M33" s="455"/>
      <c r="N33" s="455"/>
      <c r="O33" s="455"/>
      <c r="P33" s="455"/>
      <c r="Q33" s="455"/>
      <c r="R33" s="455"/>
      <c r="S33" s="455"/>
      <c r="T33" s="455"/>
      <c r="U33" s="455"/>
      <c r="V33" s="455"/>
      <c r="W33" s="455"/>
      <c r="X33" s="455"/>
      <c r="Y33" s="455"/>
      <c r="Z33" s="455"/>
      <c r="AA33" s="455"/>
      <c r="AB33" s="455"/>
      <c r="AC33" s="134">
        <f>1.2*23.025</f>
        <v>27.63</v>
      </c>
      <c r="AD33" s="614" t="s">
        <v>15</v>
      </c>
      <c r="AE33" s="167">
        <f>'Ribassi PE'!$K$16</f>
        <v>0.17</v>
      </c>
      <c r="AF33" s="168">
        <f t="shared" ref="AF33" si="22">ROUND(AC33*(1-AE33),3)</f>
        <v>22.933</v>
      </c>
      <c r="AG33" s="167">
        <f>'Ribassi PE'!$M$16</f>
        <v>0.50429999999999997</v>
      </c>
      <c r="AH33" s="168">
        <f t="shared" ref="AH33" si="23">ROUND(AC33*(1-AG33),3)</f>
        <v>13.696</v>
      </c>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6"/>
      <c r="BF33" s="576"/>
      <c r="BG33" s="577"/>
    </row>
    <row r="34" spans="1:59" ht="23.25" thickBot="1" x14ac:dyDescent="0.25">
      <c r="A34" s="575"/>
      <c r="B34" s="993"/>
      <c r="C34" s="999"/>
      <c r="D34" s="988"/>
      <c r="E34" s="994"/>
      <c r="F34" s="281" t="s">
        <v>869</v>
      </c>
      <c r="G34" s="281" t="s">
        <v>1196</v>
      </c>
      <c r="H34" s="282" t="s">
        <v>877</v>
      </c>
      <c r="I34" s="850"/>
      <c r="J34" s="455"/>
      <c r="K34" s="455"/>
      <c r="L34" s="455"/>
      <c r="M34" s="455"/>
      <c r="N34" s="455"/>
      <c r="O34" s="455"/>
      <c r="P34" s="455"/>
      <c r="Q34" s="455"/>
      <c r="R34" s="455"/>
      <c r="S34" s="455"/>
      <c r="T34" s="455"/>
      <c r="U34" s="455"/>
      <c r="V34" s="455"/>
      <c r="W34" s="455"/>
      <c r="X34" s="455"/>
      <c r="Y34" s="455"/>
      <c r="Z34" s="455"/>
      <c r="AA34" s="455"/>
      <c r="AB34" s="455"/>
      <c r="AC34" s="134">
        <f>1.4*23.025</f>
        <v>32.234999999999999</v>
      </c>
      <c r="AD34" s="614" t="s">
        <v>15</v>
      </c>
      <c r="AE34" s="167">
        <f>'Ribassi PE'!$K$16</f>
        <v>0.17</v>
      </c>
      <c r="AF34" s="168">
        <f t="shared" ref="AF34" si="24">ROUND(AC34*(1-AE34),3)</f>
        <v>26.754999999999999</v>
      </c>
      <c r="AG34" s="167">
        <f>'Ribassi PE'!$M$16</f>
        <v>0.50429999999999997</v>
      </c>
      <c r="AH34" s="168">
        <f t="shared" ref="AH34" si="25">ROUND(AC34*(1-AG34),3)</f>
        <v>15.978999999999999</v>
      </c>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6"/>
      <c r="BF34" s="576"/>
      <c r="BG34" s="577"/>
    </row>
    <row r="35" spans="1:59" ht="34.5" thickBot="1" x14ac:dyDescent="0.25">
      <c r="A35" s="575"/>
      <c r="B35" s="548" t="s">
        <v>806</v>
      </c>
      <c r="C35" s="1000"/>
      <c r="D35" s="989"/>
      <c r="E35" s="544" t="s">
        <v>859</v>
      </c>
      <c r="F35" s="283" t="s">
        <v>875</v>
      </c>
      <c r="G35" s="283"/>
      <c r="H35" s="284" t="s">
        <v>877</v>
      </c>
      <c r="I35" s="858">
        <f>138+84</f>
        <v>222</v>
      </c>
      <c r="J35" s="460"/>
      <c r="K35" s="460"/>
      <c r="L35" s="460"/>
      <c r="M35" s="460"/>
      <c r="N35" s="460"/>
      <c r="O35" s="460"/>
      <c r="P35" s="460"/>
      <c r="Q35" s="460"/>
      <c r="R35" s="460"/>
      <c r="S35" s="460"/>
      <c r="T35" s="460"/>
      <c r="U35" s="460"/>
      <c r="V35" s="460"/>
      <c r="W35" s="460"/>
      <c r="X35" s="460"/>
      <c r="Y35" s="460"/>
      <c r="Z35" s="460"/>
      <c r="AA35" s="460"/>
      <c r="AB35" s="460"/>
      <c r="AC35" s="247">
        <v>3.944</v>
      </c>
      <c r="AD35" s="614" t="s">
        <v>15</v>
      </c>
      <c r="AE35" s="135">
        <f>'Ribassi PE'!$K$16</f>
        <v>0.17</v>
      </c>
      <c r="AF35" s="136">
        <f t="shared" si="20"/>
        <v>3.274</v>
      </c>
      <c r="AG35" s="135">
        <f>'Ribassi PE'!$M$16</f>
        <v>0.50429999999999997</v>
      </c>
      <c r="AH35" s="136">
        <f t="shared" si="21"/>
        <v>1.9550000000000001</v>
      </c>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6"/>
      <c r="BF35" s="576"/>
      <c r="BG35" s="577"/>
    </row>
    <row r="36" spans="1:59" ht="12" thickBot="1" x14ac:dyDescent="0.25">
      <c r="A36" s="575"/>
      <c r="B36" s="540" t="s">
        <v>807</v>
      </c>
      <c r="C36" s="998" t="s">
        <v>783</v>
      </c>
      <c r="D36" s="986" t="s">
        <v>845</v>
      </c>
      <c r="E36" s="542" t="s">
        <v>851</v>
      </c>
      <c r="F36" s="279" t="s">
        <v>875</v>
      </c>
      <c r="G36" s="279"/>
      <c r="H36" s="280" t="s">
        <v>876</v>
      </c>
      <c r="I36" s="849">
        <v>2500</v>
      </c>
      <c r="J36" s="454"/>
      <c r="K36" s="454"/>
      <c r="L36" s="454"/>
      <c r="M36" s="454"/>
      <c r="N36" s="454"/>
      <c r="O36" s="454"/>
      <c r="P36" s="454"/>
      <c r="Q36" s="454"/>
      <c r="R36" s="454"/>
      <c r="S36" s="454"/>
      <c r="T36" s="454"/>
      <c r="U36" s="454"/>
      <c r="V36" s="454"/>
      <c r="W36" s="454"/>
      <c r="X36" s="454"/>
      <c r="Y36" s="454"/>
      <c r="Z36" s="454"/>
      <c r="AA36" s="454"/>
      <c r="AB36" s="454"/>
      <c r="AC36" s="248">
        <v>7.9000000000000001E-2</v>
      </c>
      <c r="AD36" s="613" t="s">
        <v>16</v>
      </c>
      <c r="AE36" s="249">
        <f>'Ribassi PE'!$K$17</f>
        <v>0.47</v>
      </c>
      <c r="AF36" s="250">
        <f t="shared" si="20"/>
        <v>4.2000000000000003E-2</v>
      </c>
      <c r="AG36" s="249">
        <f>'Ribassi PE'!$M$17</f>
        <v>0.62409999999999999</v>
      </c>
      <c r="AH36" s="250">
        <f t="shared" si="21"/>
        <v>0.03</v>
      </c>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6"/>
      <c r="BF36" s="576"/>
      <c r="BG36" s="577"/>
    </row>
    <row r="37" spans="1:59" ht="12" thickBot="1" x14ac:dyDescent="0.25">
      <c r="A37" s="575"/>
      <c r="B37" s="548" t="s">
        <v>808</v>
      </c>
      <c r="C37" s="1000"/>
      <c r="D37" s="989"/>
      <c r="E37" s="544" t="s">
        <v>852</v>
      </c>
      <c r="F37" s="283" t="s">
        <v>875</v>
      </c>
      <c r="G37" s="283"/>
      <c r="H37" s="284" t="s">
        <v>876</v>
      </c>
      <c r="I37" s="851">
        <v>2500</v>
      </c>
      <c r="J37" s="456"/>
      <c r="K37" s="456"/>
      <c r="L37" s="456"/>
      <c r="M37" s="456"/>
      <c r="N37" s="456"/>
      <c r="O37" s="456"/>
      <c r="P37" s="456"/>
      <c r="Q37" s="456"/>
      <c r="R37" s="456"/>
      <c r="S37" s="456"/>
      <c r="T37" s="456"/>
      <c r="U37" s="456"/>
      <c r="V37" s="456"/>
      <c r="W37" s="456"/>
      <c r="X37" s="456"/>
      <c r="Y37" s="456"/>
      <c r="Z37" s="456"/>
      <c r="AA37" s="456"/>
      <c r="AB37" s="456"/>
      <c r="AC37" s="251">
        <v>0.23599999999999999</v>
      </c>
      <c r="AD37" s="615" t="s">
        <v>16</v>
      </c>
      <c r="AE37" s="138">
        <f>'Ribassi PE'!$K$17</f>
        <v>0.47</v>
      </c>
      <c r="AF37" s="252">
        <f t="shared" si="20"/>
        <v>0.125</v>
      </c>
      <c r="AG37" s="138">
        <f>'Ribassi PE'!$M$17</f>
        <v>0.62409999999999999</v>
      </c>
      <c r="AH37" s="252">
        <f t="shared" si="21"/>
        <v>8.8999999999999996E-2</v>
      </c>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6"/>
      <c r="BF37" s="576"/>
      <c r="BG37" s="577"/>
    </row>
    <row r="38" spans="1:59" ht="12" thickBot="1" x14ac:dyDescent="0.25">
      <c r="A38" s="575"/>
      <c r="B38" s="540" t="s">
        <v>809</v>
      </c>
      <c r="C38" s="998" t="s">
        <v>784</v>
      </c>
      <c r="D38" s="986" t="s">
        <v>845</v>
      </c>
      <c r="E38" s="542" t="s">
        <v>851</v>
      </c>
      <c r="F38" s="279" t="s">
        <v>875</v>
      </c>
      <c r="G38" s="279"/>
      <c r="H38" s="280" t="s">
        <v>876</v>
      </c>
      <c r="I38" s="859"/>
      <c r="J38" s="461"/>
      <c r="K38" s="461"/>
      <c r="L38" s="461"/>
      <c r="M38" s="461"/>
      <c r="N38" s="461"/>
      <c r="O38" s="461"/>
      <c r="P38" s="461"/>
      <c r="Q38" s="461"/>
      <c r="R38" s="461"/>
      <c r="S38" s="461"/>
      <c r="T38" s="461"/>
      <c r="U38" s="461"/>
      <c r="V38" s="461"/>
      <c r="W38" s="461"/>
      <c r="X38" s="461"/>
      <c r="Y38" s="461"/>
      <c r="Z38" s="461"/>
      <c r="AA38" s="461"/>
      <c r="AB38" s="461"/>
      <c r="AC38" s="253">
        <v>7.9000000000000001E-2</v>
      </c>
      <c r="AD38" s="614" t="s">
        <v>17</v>
      </c>
      <c r="AE38" s="212">
        <f>'Ribassi PE'!$K$18</f>
        <v>0.56999999999999995</v>
      </c>
      <c r="AF38" s="254">
        <f t="shared" si="20"/>
        <v>3.4000000000000002E-2</v>
      </c>
      <c r="AG38" s="212">
        <f>'Ribassi PE'!$M$18</f>
        <v>0.2293</v>
      </c>
      <c r="AH38" s="254">
        <f t="shared" si="21"/>
        <v>6.0999999999999999E-2</v>
      </c>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6"/>
      <c r="BF38" s="576"/>
      <c r="BG38" s="577"/>
    </row>
    <row r="39" spans="1:59" ht="12" thickBot="1" x14ac:dyDescent="0.25">
      <c r="A39" s="575"/>
      <c r="B39" s="541" t="s">
        <v>810</v>
      </c>
      <c r="C39" s="999"/>
      <c r="D39" s="988"/>
      <c r="E39" s="543" t="s">
        <v>852</v>
      </c>
      <c r="F39" s="281" t="s">
        <v>875</v>
      </c>
      <c r="G39" s="281"/>
      <c r="H39" s="282" t="s">
        <v>876</v>
      </c>
      <c r="I39" s="850"/>
      <c r="J39" s="455"/>
      <c r="K39" s="455"/>
      <c r="L39" s="455"/>
      <c r="M39" s="455"/>
      <c r="N39" s="455"/>
      <c r="O39" s="455"/>
      <c r="P39" s="455"/>
      <c r="Q39" s="455"/>
      <c r="R39" s="455"/>
      <c r="S39" s="455"/>
      <c r="T39" s="455"/>
      <c r="U39" s="455"/>
      <c r="V39" s="455"/>
      <c r="W39" s="455"/>
      <c r="X39" s="455"/>
      <c r="Y39" s="455"/>
      <c r="Z39" s="455"/>
      <c r="AA39" s="455"/>
      <c r="AB39" s="455"/>
      <c r="AC39" s="134">
        <v>0.23599999999999999</v>
      </c>
      <c r="AD39" s="614" t="s">
        <v>17</v>
      </c>
      <c r="AE39" s="135">
        <f>'Ribassi PE'!$K$18</f>
        <v>0.56999999999999995</v>
      </c>
      <c r="AF39" s="136">
        <f t="shared" si="20"/>
        <v>0.10100000000000001</v>
      </c>
      <c r="AG39" s="135">
        <f>'Ribassi PE'!$M$18</f>
        <v>0.2293</v>
      </c>
      <c r="AH39" s="136">
        <f t="shared" si="21"/>
        <v>0.182</v>
      </c>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6"/>
      <c r="BF39" s="576"/>
      <c r="BG39" s="577"/>
    </row>
    <row r="40" spans="1:59" ht="23.25" thickBot="1" x14ac:dyDescent="0.25">
      <c r="A40" s="575"/>
      <c r="B40" s="541" t="s">
        <v>811</v>
      </c>
      <c r="C40" s="999"/>
      <c r="D40" s="538" t="s">
        <v>849</v>
      </c>
      <c r="E40" s="543" t="s">
        <v>856</v>
      </c>
      <c r="F40" s="281" t="s">
        <v>875</v>
      </c>
      <c r="G40" s="281"/>
      <c r="H40" s="282" t="s">
        <v>877</v>
      </c>
      <c r="I40" s="850"/>
      <c r="J40" s="455"/>
      <c r="K40" s="455"/>
      <c r="L40" s="455"/>
      <c r="M40" s="455"/>
      <c r="N40" s="455"/>
      <c r="O40" s="455"/>
      <c r="P40" s="455"/>
      <c r="Q40" s="455"/>
      <c r="R40" s="455"/>
      <c r="S40" s="455"/>
      <c r="T40" s="455"/>
      <c r="U40" s="455"/>
      <c r="V40" s="455"/>
      <c r="W40" s="455"/>
      <c r="X40" s="455"/>
      <c r="Y40" s="455"/>
      <c r="Z40" s="455"/>
      <c r="AA40" s="455"/>
      <c r="AB40" s="455"/>
      <c r="AC40" s="164">
        <v>0.78900000000000003</v>
      </c>
      <c r="AD40" s="614" t="s">
        <v>17</v>
      </c>
      <c r="AE40" s="165">
        <f>'Ribassi PE'!$K$18</f>
        <v>0.56999999999999995</v>
      </c>
      <c r="AF40" s="166">
        <f t="shared" si="20"/>
        <v>0.33900000000000002</v>
      </c>
      <c r="AG40" s="165">
        <f>'Ribassi PE'!$M$18</f>
        <v>0.2293</v>
      </c>
      <c r="AH40" s="166">
        <f t="shared" si="21"/>
        <v>0.60799999999999998</v>
      </c>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6"/>
      <c r="BF40" s="576"/>
      <c r="BG40" s="577"/>
    </row>
    <row r="41" spans="1:59" ht="23.25" thickBot="1" x14ac:dyDescent="0.25">
      <c r="A41" s="575"/>
      <c r="B41" s="541" t="s">
        <v>812</v>
      </c>
      <c r="C41" s="999"/>
      <c r="D41" s="988" t="s">
        <v>846</v>
      </c>
      <c r="E41" s="543" t="s">
        <v>860</v>
      </c>
      <c r="F41" s="281" t="s">
        <v>875</v>
      </c>
      <c r="G41" s="281"/>
      <c r="H41" s="282" t="s">
        <v>877</v>
      </c>
      <c r="I41" s="850"/>
      <c r="J41" s="455"/>
      <c r="K41" s="455"/>
      <c r="L41" s="455"/>
      <c r="M41" s="455"/>
      <c r="N41" s="455"/>
      <c r="O41" s="455"/>
      <c r="P41" s="455"/>
      <c r="Q41" s="455"/>
      <c r="R41" s="455"/>
      <c r="S41" s="455"/>
      <c r="T41" s="455"/>
      <c r="U41" s="455"/>
      <c r="V41" s="455"/>
      <c r="W41" s="455"/>
      <c r="X41" s="455"/>
      <c r="Y41" s="455"/>
      <c r="Z41" s="455"/>
      <c r="AA41" s="455"/>
      <c r="AB41" s="455"/>
      <c r="AC41" s="134">
        <v>0.39400000000000002</v>
      </c>
      <c r="AD41" s="614" t="s">
        <v>17</v>
      </c>
      <c r="AE41" s="135">
        <f>'Ribassi PE'!$K$18</f>
        <v>0.56999999999999995</v>
      </c>
      <c r="AF41" s="136">
        <f t="shared" si="20"/>
        <v>0.16900000000000001</v>
      </c>
      <c r="AG41" s="135">
        <f>'Ribassi PE'!$M$18</f>
        <v>0.2293</v>
      </c>
      <c r="AH41" s="136">
        <f t="shared" si="21"/>
        <v>0.30399999999999999</v>
      </c>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6"/>
      <c r="BF41" s="576"/>
      <c r="BG41" s="577"/>
    </row>
    <row r="42" spans="1:59" ht="23.25" thickBot="1" x14ac:dyDescent="0.25">
      <c r="A42" s="575"/>
      <c r="B42" s="541" t="s">
        <v>813</v>
      </c>
      <c r="C42" s="999"/>
      <c r="D42" s="988"/>
      <c r="E42" s="543" t="s">
        <v>861</v>
      </c>
      <c r="F42" s="281" t="s">
        <v>875</v>
      </c>
      <c r="G42" s="281"/>
      <c r="H42" s="282" t="s">
        <v>877</v>
      </c>
      <c r="I42" s="850"/>
      <c r="J42" s="455"/>
      <c r="K42" s="455"/>
      <c r="L42" s="455"/>
      <c r="M42" s="455"/>
      <c r="N42" s="455"/>
      <c r="O42" s="455"/>
      <c r="P42" s="455"/>
      <c r="Q42" s="455"/>
      <c r="R42" s="455"/>
      <c r="S42" s="455"/>
      <c r="T42" s="455"/>
      <c r="U42" s="455"/>
      <c r="V42" s="455"/>
      <c r="W42" s="455"/>
      <c r="X42" s="455"/>
      <c r="Y42" s="455"/>
      <c r="Z42" s="455"/>
      <c r="AA42" s="455"/>
      <c r="AB42" s="455"/>
      <c r="AC42" s="164">
        <v>1.5780000000000001</v>
      </c>
      <c r="AD42" s="614" t="s">
        <v>17</v>
      </c>
      <c r="AE42" s="165">
        <f>'Ribassi PE'!$K$18</f>
        <v>0.56999999999999995</v>
      </c>
      <c r="AF42" s="166">
        <f t="shared" si="20"/>
        <v>0.67900000000000005</v>
      </c>
      <c r="AG42" s="165">
        <f>'Ribassi PE'!$M$18</f>
        <v>0.2293</v>
      </c>
      <c r="AH42" s="166">
        <f t="shared" si="21"/>
        <v>1.216</v>
      </c>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6"/>
      <c r="BF42" s="576"/>
      <c r="BG42" s="577"/>
    </row>
    <row r="43" spans="1:59" ht="23.25" thickBot="1" x14ac:dyDescent="0.25">
      <c r="A43" s="575"/>
      <c r="B43" s="541" t="s">
        <v>814</v>
      </c>
      <c r="C43" s="999"/>
      <c r="D43" s="988"/>
      <c r="E43" s="543" t="s">
        <v>862</v>
      </c>
      <c r="F43" s="281" t="s">
        <v>875</v>
      </c>
      <c r="G43" s="281"/>
      <c r="H43" s="282" t="s">
        <v>877</v>
      </c>
      <c r="I43" s="850"/>
      <c r="J43" s="455"/>
      <c r="K43" s="455"/>
      <c r="L43" s="455"/>
      <c r="M43" s="455"/>
      <c r="N43" s="455"/>
      <c r="O43" s="455"/>
      <c r="P43" s="455"/>
      <c r="Q43" s="455"/>
      <c r="R43" s="455"/>
      <c r="S43" s="455"/>
      <c r="T43" s="455"/>
      <c r="U43" s="455"/>
      <c r="V43" s="455"/>
      <c r="W43" s="455"/>
      <c r="X43" s="455"/>
      <c r="Y43" s="455"/>
      <c r="Z43" s="455"/>
      <c r="AA43" s="455"/>
      <c r="AB43" s="455"/>
      <c r="AC43" s="134">
        <v>0.78900000000000003</v>
      </c>
      <c r="AD43" s="614" t="s">
        <v>17</v>
      </c>
      <c r="AE43" s="135">
        <f>'Ribassi PE'!$K$18</f>
        <v>0.56999999999999995</v>
      </c>
      <c r="AF43" s="136">
        <f t="shared" si="20"/>
        <v>0.33900000000000002</v>
      </c>
      <c r="AG43" s="135">
        <f>'Ribassi PE'!$M$18</f>
        <v>0.2293</v>
      </c>
      <c r="AH43" s="136">
        <f t="shared" si="21"/>
        <v>0.60799999999999998</v>
      </c>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6"/>
      <c r="BF43" s="576"/>
      <c r="BG43" s="577"/>
    </row>
    <row r="44" spans="1:59" ht="23.25" thickBot="1" x14ac:dyDescent="0.25">
      <c r="A44" s="575"/>
      <c r="B44" s="548" t="s">
        <v>815</v>
      </c>
      <c r="C44" s="1000"/>
      <c r="D44" s="539" t="s">
        <v>847</v>
      </c>
      <c r="E44" s="544" t="s">
        <v>854</v>
      </c>
      <c r="F44" s="283" t="s">
        <v>871</v>
      </c>
      <c r="G44" s="283"/>
      <c r="H44" s="284" t="s">
        <v>877</v>
      </c>
      <c r="I44" s="858"/>
      <c r="J44" s="460"/>
      <c r="K44" s="460"/>
      <c r="L44" s="460"/>
      <c r="M44" s="460"/>
      <c r="N44" s="460"/>
      <c r="O44" s="460"/>
      <c r="P44" s="460"/>
      <c r="Q44" s="460"/>
      <c r="R44" s="460"/>
      <c r="S44" s="460"/>
      <c r="T44" s="460"/>
      <c r="U44" s="460"/>
      <c r="V44" s="460"/>
      <c r="W44" s="460"/>
      <c r="X44" s="460"/>
      <c r="Y44" s="460"/>
      <c r="Z44" s="460"/>
      <c r="AA44" s="460"/>
      <c r="AB44" s="460"/>
      <c r="AC44" s="247">
        <v>0.182</v>
      </c>
      <c r="AD44" s="614" t="s">
        <v>17</v>
      </c>
      <c r="AE44" s="268">
        <f>'Ribassi PE'!$K$18</f>
        <v>0.56999999999999995</v>
      </c>
      <c r="AF44" s="269">
        <f t="shared" si="20"/>
        <v>7.8E-2</v>
      </c>
      <c r="AG44" s="268">
        <f>'Ribassi PE'!$M$18</f>
        <v>0.2293</v>
      </c>
      <c r="AH44" s="269">
        <f t="shared" si="21"/>
        <v>0.14000000000000001</v>
      </c>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6"/>
      <c r="BF44" s="576"/>
      <c r="BG44" s="577"/>
    </row>
    <row r="45" spans="1:59" ht="23.25" thickBot="1" x14ac:dyDescent="0.25">
      <c r="A45" s="575"/>
      <c r="B45" s="995" t="s">
        <v>816</v>
      </c>
      <c r="C45" s="998" t="s">
        <v>785</v>
      </c>
      <c r="D45" s="986" t="s">
        <v>845</v>
      </c>
      <c r="E45" s="996" t="s">
        <v>851</v>
      </c>
      <c r="F45" s="279" t="s">
        <v>869</v>
      </c>
      <c r="G45" s="279" t="s">
        <v>1194</v>
      </c>
      <c r="H45" s="280" t="s">
        <v>876</v>
      </c>
      <c r="I45" s="849">
        <v>291</v>
      </c>
      <c r="J45" s="454"/>
      <c r="K45" s="454"/>
      <c r="L45" s="454"/>
      <c r="M45" s="454"/>
      <c r="N45" s="454"/>
      <c r="O45" s="454"/>
      <c r="P45" s="454"/>
      <c r="Q45" s="454"/>
      <c r="R45" s="454"/>
      <c r="S45" s="454"/>
      <c r="T45" s="454"/>
      <c r="U45" s="454"/>
      <c r="V45" s="454"/>
      <c r="W45" s="454"/>
      <c r="X45" s="454"/>
      <c r="Y45" s="454"/>
      <c r="Z45" s="454"/>
      <c r="AA45" s="454"/>
      <c r="AB45" s="454"/>
      <c r="AC45" s="248">
        <v>0.38400000000000001</v>
      </c>
      <c r="AD45" s="613" t="s">
        <v>17</v>
      </c>
      <c r="AE45" s="133">
        <f>'Ribassi PE'!$K$19</f>
        <v>0.56999999999999995</v>
      </c>
      <c r="AF45" s="270">
        <f t="shared" si="20"/>
        <v>0.16500000000000001</v>
      </c>
      <c r="AG45" s="133">
        <f>'Ribassi PE'!$M$19</f>
        <v>0.2293</v>
      </c>
      <c r="AH45" s="270">
        <f t="shared" si="21"/>
        <v>0.29599999999999999</v>
      </c>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6"/>
      <c r="BF45" s="576"/>
      <c r="BG45" s="577"/>
    </row>
    <row r="46" spans="1:59" ht="23.25" thickBot="1" x14ac:dyDescent="0.25">
      <c r="A46" s="575"/>
      <c r="B46" s="993"/>
      <c r="C46" s="999"/>
      <c r="D46" s="988"/>
      <c r="E46" s="994"/>
      <c r="F46" s="281" t="s">
        <v>869</v>
      </c>
      <c r="G46" s="281" t="s">
        <v>1195</v>
      </c>
      <c r="H46" s="282" t="s">
        <v>876</v>
      </c>
      <c r="I46" s="859"/>
      <c r="J46" s="461"/>
      <c r="K46" s="461"/>
      <c r="L46" s="461"/>
      <c r="M46" s="461"/>
      <c r="N46" s="461"/>
      <c r="O46" s="461"/>
      <c r="P46" s="461"/>
      <c r="Q46" s="461"/>
      <c r="R46" s="461"/>
      <c r="S46" s="461"/>
      <c r="T46" s="461"/>
      <c r="U46" s="461"/>
      <c r="V46" s="461"/>
      <c r="W46" s="461"/>
      <c r="X46" s="461"/>
      <c r="Y46" s="461"/>
      <c r="Z46" s="461"/>
      <c r="AA46" s="461"/>
      <c r="AB46" s="461"/>
      <c r="AC46" s="265">
        <f>1.2*0.384</f>
        <v>0.46079999999999999</v>
      </c>
      <c r="AD46" s="614" t="s">
        <v>17</v>
      </c>
      <c r="AE46" s="266">
        <f>'Ribassi PE'!$K$19</f>
        <v>0.56999999999999995</v>
      </c>
      <c r="AF46" s="267">
        <f t="shared" ref="AF46:AF47" si="26">ROUND(AC46*(1-AE46),3)</f>
        <v>0.19800000000000001</v>
      </c>
      <c r="AG46" s="266">
        <f>'Ribassi PE'!$M$19</f>
        <v>0.2293</v>
      </c>
      <c r="AH46" s="267">
        <f t="shared" ref="AH46:AH47" si="27">ROUND(AC46*(1-AG46),3)</f>
        <v>0.35499999999999998</v>
      </c>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6"/>
      <c r="BF46" s="576"/>
      <c r="BG46" s="577"/>
    </row>
    <row r="47" spans="1:59" ht="23.25" thickBot="1" x14ac:dyDescent="0.25">
      <c r="A47" s="575"/>
      <c r="B47" s="993"/>
      <c r="C47" s="999"/>
      <c r="D47" s="988"/>
      <c r="E47" s="994"/>
      <c r="F47" s="281" t="s">
        <v>869</v>
      </c>
      <c r="G47" s="281" t="s">
        <v>1196</v>
      </c>
      <c r="H47" s="282" t="s">
        <v>876</v>
      </c>
      <c r="I47" s="859"/>
      <c r="J47" s="461"/>
      <c r="K47" s="461"/>
      <c r="L47" s="461"/>
      <c r="M47" s="461"/>
      <c r="N47" s="461"/>
      <c r="O47" s="461"/>
      <c r="P47" s="461"/>
      <c r="Q47" s="461"/>
      <c r="R47" s="461"/>
      <c r="S47" s="461"/>
      <c r="T47" s="461"/>
      <c r="U47" s="461"/>
      <c r="V47" s="461"/>
      <c r="W47" s="461"/>
      <c r="X47" s="461"/>
      <c r="Y47" s="461"/>
      <c r="Z47" s="461"/>
      <c r="AA47" s="461"/>
      <c r="AB47" s="461"/>
      <c r="AC47" s="265">
        <f>1.4*0.384</f>
        <v>0.53759999999999997</v>
      </c>
      <c r="AD47" s="614" t="s">
        <v>17</v>
      </c>
      <c r="AE47" s="266">
        <f>'Ribassi PE'!$K$19</f>
        <v>0.56999999999999995</v>
      </c>
      <c r="AF47" s="267">
        <f t="shared" si="26"/>
        <v>0.23100000000000001</v>
      </c>
      <c r="AG47" s="266">
        <f>'Ribassi PE'!$M$19</f>
        <v>0.2293</v>
      </c>
      <c r="AH47" s="267">
        <f t="shared" si="27"/>
        <v>0.41399999999999998</v>
      </c>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6"/>
      <c r="BF47" s="576"/>
      <c r="BG47" s="577"/>
    </row>
    <row r="48" spans="1:59" ht="23.25" thickBot="1" x14ac:dyDescent="0.25">
      <c r="A48" s="575"/>
      <c r="B48" s="993" t="s">
        <v>817</v>
      </c>
      <c r="C48" s="999"/>
      <c r="D48" s="988"/>
      <c r="E48" s="994" t="s">
        <v>852</v>
      </c>
      <c r="F48" s="281" t="s">
        <v>869</v>
      </c>
      <c r="G48" s="281" t="s">
        <v>1194</v>
      </c>
      <c r="H48" s="282" t="s">
        <v>876</v>
      </c>
      <c r="I48" s="850">
        <v>291</v>
      </c>
      <c r="J48" s="455"/>
      <c r="K48" s="455"/>
      <c r="L48" s="455"/>
      <c r="M48" s="455"/>
      <c r="N48" s="455"/>
      <c r="O48" s="455"/>
      <c r="P48" s="455"/>
      <c r="Q48" s="455"/>
      <c r="R48" s="455"/>
      <c r="S48" s="455"/>
      <c r="T48" s="455"/>
      <c r="U48" s="455"/>
      <c r="V48" s="455"/>
      <c r="W48" s="455"/>
      <c r="X48" s="455"/>
      <c r="Y48" s="455"/>
      <c r="Z48" s="455"/>
      <c r="AA48" s="455"/>
      <c r="AB48" s="455"/>
      <c r="AC48" s="134">
        <v>1.151</v>
      </c>
      <c r="AD48" s="614" t="s">
        <v>17</v>
      </c>
      <c r="AE48" s="135">
        <f>'Ribassi PE'!$K$19</f>
        <v>0.56999999999999995</v>
      </c>
      <c r="AF48" s="136">
        <f t="shared" si="20"/>
        <v>0.495</v>
      </c>
      <c r="AG48" s="135">
        <f>'Ribassi PE'!$M$19</f>
        <v>0.2293</v>
      </c>
      <c r="AH48" s="136">
        <f t="shared" si="21"/>
        <v>0.88700000000000001</v>
      </c>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6"/>
      <c r="BF48" s="576"/>
      <c r="BG48" s="577"/>
    </row>
    <row r="49" spans="1:59" ht="23.25" thickBot="1" x14ac:dyDescent="0.25">
      <c r="A49" s="575"/>
      <c r="B49" s="993"/>
      <c r="C49" s="999"/>
      <c r="D49" s="988"/>
      <c r="E49" s="994"/>
      <c r="F49" s="281" t="s">
        <v>869</v>
      </c>
      <c r="G49" s="281" t="s">
        <v>1195</v>
      </c>
      <c r="H49" s="282" t="s">
        <v>876</v>
      </c>
      <c r="I49" s="850"/>
      <c r="J49" s="455"/>
      <c r="K49" s="455"/>
      <c r="L49" s="455"/>
      <c r="M49" s="455"/>
      <c r="N49" s="455"/>
      <c r="O49" s="455"/>
      <c r="P49" s="455"/>
      <c r="Q49" s="455"/>
      <c r="R49" s="455"/>
      <c r="S49" s="455"/>
      <c r="T49" s="455"/>
      <c r="U49" s="455"/>
      <c r="V49" s="455"/>
      <c r="W49" s="455"/>
      <c r="X49" s="455"/>
      <c r="Y49" s="455"/>
      <c r="Z49" s="455"/>
      <c r="AA49" s="455"/>
      <c r="AB49" s="455"/>
      <c r="AC49" s="134">
        <f>1.2*1.151</f>
        <v>1.3812</v>
      </c>
      <c r="AD49" s="614" t="s">
        <v>17</v>
      </c>
      <c r="AE49" s="135">
        <f>'Ribassi PE'!$K$19</f>
        <v>0.56999999999999995</v>
      </c>
      <c r="AF49" s="136">
        <f t="shared" ref="AF49" si="28">ROUND(AC49*(1-AE49),3)</f>
        <v>0.59399999999999997</v>
      </c>
      <c r="AG49" s="135">
        <f>'Ribassi PE'!$M$19</f>
        <v>0.2293</v>
      </c>
      <c r="AH49" s="136">
        <f t="shared" ref="AH49" si="29">ROUND(AC49*(1-AG49),3)</f>
        <v>1.0640000000000001</v>
      </c>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6"/>
      <c r="BF49" s="576"/>
      <c r="BG49" s="577"/>
    </row>
    <row r="50" spans="1:59" ht="23.25" thickBot="1" x14ac:dyDescent="0.25">
      <c r="A50" s="575"/>
      <c r="B50" s="993"/>
      <c r="C50" s="999"/>
      <c r="D50" s="988"/>
      <c r="E50" s="994"/>
      <c r="F50" s="281" t="s">
        <v>869</v>
      </c>
      <c r="G50" s="281" t="s">
        <v>1196</v>
      </c>
      <c r="H50" s="282" t="s">
        <v>876</v>
      </c>
      <c r="I50" s="850"/>
      <c r="J50" s="455"/>
      <c r="K50" s="455"/>
      <c r="L50" s="455"/>
      <c r="M50" s="455"/>
      <c r="N50" s="455"/>
      <c r="O50" s="455"/>
      <c r="P50" s="455"/>
      <c r="Q50" s="455"/>
      <c r="R50" s="455"/>
      <c r="S50" s="455"/>
      <c r="T50" s="455"/>
      <c r="U50" s="455"/>
      <c r="V50" s="455"/>
      <c r="W50" s="455"/>
      <c r="X50" s="455"/>
      <c r="Y50" s="455"/>
      <c r="Z50" s="455"/>
      <c r="AA50" s="455"/>
      <c r="AB50" s="455"/>
      <c r="AC50" s="134">
        <f>1.4*1.151</f>
        <v>1.6113999999999999</v>
      </c>
      <c r="AD50" s="614" t="s">
        <v>17</v>
      </c>
      <c r="AE50" s="135">
        <f>'Ribassi PE'!$K$19</f>
        <v>0.56999999999999995</v>
      </c>
      <c r="AF50" s="136">
        <f t="shared" ref="AF50" si="30">ROUND(AC50*(1-AE50),3)</f>
        <v>0.69299999999999995</v>
      </c>
      <c r="AG50" s="135">
        <f>'Ribassi PE'!$M$19</f>
        <v>0.2293</v>
      </c>
      <c r="AH50" s="136">
        <f t="shared" ref="AH50" si="31">ROUND(AC50*(1-AG50),3)</f>
        <v>1.242</v>
      </c>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6"/>
      <c r="BF50" s="576"/>
      <c r="BG50" s="577"/>
    </row>
    <row r="51" spans="1:59" ht="23.25" thickBot="1" x14ac:dyDescent="0.25">
      <c r="A51" s="575"/>
      <c r="B51" s="993" t="s">
        <v>818</v>
      </c>
      <c r="C51" s="999"/>
      <c r="D51" s="992" t="s">
        <v>846</v>
      </c>
      <c r="E51" s="994" t="s">
        <v>863</v>
      </c>
      <c r="F51" s="281" t="s">
        <v>869</v>
      </c>
      <c r="G51" s="281" t="s">
        <v>1194</v>
      </c>
      <c r="H51" s="282" t="s">
        <v>877</v>
      </c>
      <c r="I51" s="850"/>
      <c r="J51" s="455"/>
      <c r="K51" s="455"/>
      <c r="L51" s="455"/>
      <c r="M51" s="455"/>
      <c r="N51" s="455"/>
      <c r="O51" s="455"/>
      <c r="P51" s="455"/>
      <c r="Q51" s="455"/>
      <c r="R51" s="455"/>
      <c r="S51" s="455"/>
      <c r="T51" s="455"/>
      <c r="U51" s="455"/>
      <c r="V51" s="455"/>
      <c r="W51" s="455"/>
      <c r="X51" s="455"/>
      <c r="Y51" s="455"/>
      <c r="Z51" s="455"/>
      <c r="AA51" s="455"/>
      <c r="AB51" s="455"/>
      <c r="AC51" s="164">
        <v>7.8719999999999999</v>
      </c>
      <c r="AD51" s="614" t="s">
        <v>17</v>
      </c>
      <c r="AE51" s="165">
        <f>'Ribassi PE'!$K$19</f>
        <v>0.56999999999999995</v>
      </c>
      <c r="AF51" s="166">
        <f t="shared" si="20"/>
        <v>3.3849999999999998</v>
      </c>
      <c r="AG51" s="165">
        <f>'Ribassi PE'!$M$19</f>
        <v>0.2293</v>
      </c>
      <c r="AH51" s="166">
        <f t="shared" si="21"/>
        <v>6.0670000000000002</v>
      </c>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6"/>
      <c r="BF51" s="576"/>
      <c r="BG51" s="577"/>
    </row>
    <row r="52" spans="1:59" ht="23.25" thickBot="1" x14ac:dyDescent="0.25">
      <c r="A52" s="575"/>
      <c r="B52" s="993"/>
      <c r="C52" s="999"/>
      <c r="D52" s="991"/>
      <c r="E52" s="994"/>
      <c r="F52" s="281" t="s">
        <v>869</v>
      </c>
      <c r="G52" s="281" t="s">
        <v>1195</v>
      </c>
      <c r="H52" s="282" t="s">
        <v>877</v>
      </c>
      <c r="I52" s="850"/>
      <c r="J52" s="455"/>
      <c r="K52" s="455"/>
      <c r="L52" s="455"/>
      <c r="M52" s="455"/>
      <c r="N52" s="455"/>
      <c r="O52" s="455"/>
      <c r="P52" s="455"/>
      <c r="Q52" s="455"/>
      <c r="R52" s="455"/>
      <c r="S52" s="455"/>
      <c r="T52" s="455"/>
      <c r="U52" s="455"/>
      <c r="V52" s="455"/>
      <c r="W52" s="455"/>
      <c r="X52" s="455"/>
      <c r="Y52" s="455"/>
      <c r="Z52" s="455"/>
      <c r="AA52" s="455"/>
      <c r="AB52" s="455"/>
      <c r="AC52" s="164">
        <f>1.2*7.872</f>
        <v>9.4463999999999988</v>
      </c>
      <c r="AD52" s="614" t="s">
        <v>17</v>
      </c>
      <c r="AE52" s="165">
        <f>'Ribassi PE'!$K$19</f>
        <v>0.56999999999999995</v>
      </c>
      <c r="AF52" s="166">
        <f t="shared" ref="AF52" si="32">ROUND(AC52*(1-AE52),3)</f>
        <v>4.0620000000000003</v>
      </c>
      <c r="AG52" s="165">
        <f>'Ribassi PE'!$M$19</f>
        <v>0.2293</v>
      </c>
      <c r="AH52" s="166">
        <f t="shared" ref="AH52" si="33">ROUND(AC52*(1-AG52),3)</f>
        <v>7.28</v>
      </c>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6"/>
      <c r="BF52" s="576"/>
      <c r="BG52" s="577"/>
    </row>
    <row r="53" spans="1:59" ht="23.25" thickBot="1" x14ac:dyDescent="0.25">
      <c r="A53" s="575"/>
      <c r="B53" s="993"/>
      <c r="C53" s="999"/>
      <c r="D53" s="991"/>
      <c r="E53" s="994"/>
      <c r="F53" s="281" t="s">
        <v>869</v>
      </c>
      <c r="G53" s="281" t="s">
        <v>1196</v>
      </c>
      <c r="H53" s="282" t="s">
        <v>877</v>
      </c>
      <c r="I53" s="850"/>
      <c r="J53" s="455"/>
      <c r="K53" s="455"/>
      <c r="L53" s="455"/>
      <c r="M53" s="455"/>
      <c r="N53" s="455"/>
      <c r="O53" s="455"/>
      <c r="P53" s="455"/>
      <c r="Q53" s="455"/>
      <c r="R53" s="455"/>
      <c r="S53" s="455"/>
      <c r="T53" s="455"/>
      <c r="U53" s="455"/>
      <c r="V53" s="455"/>
      <c r="W53" s="455"/>
      <c r="X53" s="455"/>
      <c r="Y53" s="455"/>
      <c r="Z53" s="455"/>
      <c r="AA53" s="455"/>
      <c r="AB53" s="455"/>
      <c r="AC53" s="164">
        <f>1.4*7.872</f>
        <v>11.020799999999999</v>
      </c>
      <c r="AD53" s="614" t="s">
        <v>17</v>
      </c>
      <c r="AE53" s="165">
        <f>'Ribassi PE'!$K$19</f>
        <v>0.56999999999999995</v>
      </c>
      <c r="AF53" s="166">
        <f t="shared" ref="AF53" si="34">ROUND(AC53*(1-AE53),3)</f>
        <v>4.7389999999999999</v>
      </c>
      <c r="AG53" s="165">
        <f>'Ribassi PE'!$M$19</f>
        <v>0.2293</v>
      </c>
      <c r="AH53" s="166">
        <f t="shared" ref="AH53" si="35">ROUND(AC53*(1-AG53),3)</f>
        <v>8.4939999999999998</v>
      </c>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6"/>
      <c r="BF53" s="576"/>
      <c r="BG53" s="577"/>
    </row>
    <row r="54" spans="1:59" ht="23.25" thickBot="1" x14ac:dyDescent="0.25">
      <c r="A54" s="575"/>
      <c r="B54" s="985" t="s">
        <v>819</v>
      </c>
      <c r="C54" s="999"/>
      <c r="D54" s="991"/>
      <c r="E54" s="984" t="s">
        <v>862</v>
      </c>
      <c r="F54" s="281" t="s">
        <v>869</v>
      </c>
      <c r="G54" s="281" t="s">
        <v>1194</v>
      </c>
      <c r="H54" s="282" t="s">
        <v>877</v>
      </c>
      <c r="I54" s="850"/>
      <c r="J54" s="455"/>
      <c r="K54" s="455"/>
      <c r="L54" s="455"/>
      <c r="M54" s="455"/>
      <c r="N54" s="455"/>
      <c r="O54" s="455"/>
      <c r="P54" s="455"/>
      <c r="Q54" s="455"/>
      <c r="R54" s="455"/>
      <c r="S54" s="455"/>
      <c r="T54" s="455"/>
      <c r="U54" s="455"/>
      <c r="V54" s="455"/>
      <c r="W54" s="455"/>
      <c r="X54" s="455"/>
      <c r="Y54" s="455"/>
      <c r="Z54" s="455"/>
      <c r="AA54" s="455"/>
      <c r="AB54" s="455"/>
      <c r="AC54" s="164">
        <v>3.8380000000000001</v>
      </c>
      <c r="AD54" s="614" t="s">
        <v>17</v>
      </c>
      <c r="AE54" s="165">
        <f>'Ribassi PE'!$K$19</f>
        <v>0.56999999999999995</v>
      </c>
      <c r="AF54" s="166">
        <f t="shared" si="20"/>
        <v>1.65</v>
      </c>
      <c r="AG54" s="165">
        <f>'Ribassi PE'!$M$19</f>
        <v>0.2293</v>
      </c>
      <c r="AH54" s="166">
        <f t="shared" si="21"/>
        <v>2.9580000000000002</v>
      </c>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6"/>
      <c r="BF54" s="576"/>
      <c r="BG54" s="577"/>
    </row>
    <row r="55" spans="1:59" ht="23.25" thickBot="1" x14ac:dyDescent="0.25">
      <c r="A55" s="575"/>
      <c r="B55" s="979"/>
      <c r="C55" s="999"/>
      <c r="D55" s="991"/>
      <c r="E55" s="982"/>
      <c r="F55" s="281" t="s">
        <v>869</v>
      </c>
      <c r="G55" s="281" t="s">
        <v>1195</v>
      </c>
      <c r="H55" s="282" t="s">
        <v>877</v>
      </c>
      <c r="I55" s="850"/>
      <c r="J55" s="455"/>
      <c r="K55" s="455"/>
      <c r="L55" s="455"/>
      <c r="M55" s="455"/>
      <c r="N55" s="455"/>
      <c r="O55" s="455"/>
      <c r="P55" s="455"/>
      <c r="Q55" s="455"/>
      <c r="R55" s="455"/>
      <c r="S55" s="455"/>
      <c r="T55" s="455"/>
      <c r="U55" s="455"/>
      <c r="V55" s="455"/>
      <c r="W55" s="455"/>
      <c r="X55" s="455"/>
      <c r="Y55" s="455"/>
      <c r="Z55" s="455"/>
      <c r="AA55" s="455"/>
      <c r="AB55" s="455"/>
      <c r="AC55" s="164">
        <f>1.2*3.838</f>
        <v>4.6055999999999999</v>
      </c>
      <c r="AD55" s="614" t="s">
        <v>17</v>
      </c>
      <c r="AE55" s="165">
        <f>'Ribassi PE'!$K$19</f>
        <v>0.56999999999999995</v>
      </c>
      <c r="AF55" s="166">
        <f t="shared" ref="AF55" si="36">ROUND(AC55*(1-AE55),3)</f>
        <v>1.98</v>
      </c>
      <c r="AG55" s="165">
        <f>'Ribassi PE'!$M$19</f>
        <v>0.2293</v>
      </c>
      <c r="AH55" s="166">
        <f t="shared" ref="AH55" si="37">ROUND(AC55*(1-AG55),3)</f>
        <v>3.55</v>
      </c>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6"/>
      <c r="BF55" s="576"/>
      <c r="BG55" s="577"/>
    </row>
    <row r="56" spans="1:59" ht="23.25" thickBot="1" x14ac:dyDescent="0.25">
      <c r="A56" s="575"/>
      <c r="B56" s="980"/>
      <c r="C56" s="999"/>
      <c r="D56" s="987"/>
      <c r="E56" s="983"/>
      <c r="F56" s="281" t="s">
        <v>869</v>
      </c>
      <c r="G56" s="281" t="s">
        <v>1196</v>
      </c>
      <c r="H56" s="282" t="s">
        <v>877</v>
      </c>
      <c r="I56" s="850"/>
      <c r="J56" s="455"/>
      <c r="K56" s="455"/>
      <c r="L56" s="455"/>
      <c r="M56" s="455"/>
      <c r="N56" s="455"/>
      <c r="O56" s="455"/>
      <c r="P56" s="455"/>
      <c r="Q56" s="455"/>
      <c r="R56" s="455"/>
      <c r="S56" s="455"/>
      <c r="T56" s="455"/>
      <c r="U56" s="455"/>
      <c r="V56" s="455"/>
      <c r="W56" s="455"/>
      <c r="X56" s="455"/>
      <c r="Y56" s="455"/>
      <c r="Z56" s="455"/>
      <c r="AA56" s="455"/>
      <c r="AB56" s="455"/>
      <c r="AC56" s="164">
        <f>1.4*3.838</f>
        <v>5.3731999999999998</v>
      </c>
      <c r="AD56" s="614" t="s">
        <v>17</v>
      </c>
      <c r="AE56" s="165">
        <f>'Ribassi PE'!$K$19</f>
        <v>0.56999999999999995</v>
      </c>
      <c r="AF56" s="166">
        <f t="shared" ref="AF56" si="38">ROUND(AC56*(1-AE56),3)</f>
        <v>2.31</v>
      </c>
      <c r="AG56" s="165">
        <f>'Ribassi PE'!$M$19</f>
        <v>0.2293</v>
      </c>
      <c r="AH56" s="166">
        <f t="shared" ref="AH56" si="39">ROUND(AC56*(1-AG56),3)</f>
        <v>4.141</v>
      </c>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6"/>
      <c r="BF56" s="576"/>
      <c r="BG56" s="577"/>
    </row>
    <row r="57" spans="1:59" ht="23.25" thickBot="1" x14ac:dyDescent="0.25">
      <c r="A57" s="575"/>
      <c r="B57" s="541" t="s">
        <v>820</v>
      </c>
      <c r="C57" s="999"/>
      <c r="D57" s="538" t="s">
        <v>847</v>
      </c>
      <c r="E57" s="543" t="s">
        <v>854</v>
      </c>
      <c r="F57" s="281" t="s">
        <v>875</v>
      </c>
      <c r="G57" s="281"/>
      <c r="H57" s="282" t="s">
        <v>877</v>
      </c>
      <c r="I57" s="850"/>
      <c r="J57" s="455"/>
      <c r="K57" s="455"/>
      <c r="L57" s="455"/>
      <c r="M57" s="455"/>
      <c r="N57" s="455"/>
      <c r="O57" s="455"/>
      <c r="P57" s="455"/>
      <c r="Q57" s="455"/>
      <c r="R57" s="455"/>
      <c r="S57" s="455"/>
      <c r="T57" s="455"/>
      <c r="U57" s="455"/>
      <c r="V57" s="455"/>
      <c r="W57" s="455"/>
      <c r="X57" s="455"/>
      <c r="Y57" s="455"/>
      <c r="Z57" s="455"/>
      <c r="AA57" s="455"/>
      <c r="AB57" s="455"/>
      <c r="AC57" s="134">
        <v>0.78900000000000003</v>
      </c>
      <c r="AD57" s="614" t="s">
        <v>17</v>
      </c>
      <c r="AE57" s="135">
        <f>'Ribassi PE'!$K$19</f>
        <v>0.56999999999999995</v>
      </c>
      <c r="AF57" s="136">
        <f t="shared" si="20"/>
        <v>0.33900000000000002</v>
      </c>
      <c r="AG57" s="135">
        <f>'Ribassi PE'!$M$19</f>
        <v>0.2293</v>
      </c>
      <c r="AH57" s="136">
        <f t="shared" si="21"/>
        <v>0.60799999999999998</v>
      </c>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6"/>
      <c r="BF57" s="576"/>
      <c r="BG57" s="577"/>
    </row>
    <row r="58" spans="1:59" ht="23.25" thickBot="1" x14ac:dyDescent="0.25">
      <c r="A58" s="575"/>
      <c r="B58" s="548" t="s">
        <v>821</v>
      </c>
      <c r="C58" s="1000"/>
      <c r="D58" s="539" t="s">
        <v>848</v>
      </c>
      <c r="E58" s="544" t="s">
        <v>855</v>
      </c>
      <c r="F58" s="283" t="s">
        <v>874</v>
      </c>
      <c r="G58" s="283"/>
      <c r="H58" s="284" t="s">
        <v>876</v>
      </c>
      <c r="I58" s="851">
        <v>204</v>
      </c>
      <c r="J58" s="456"/>
      <c r="K58" s="456"/>
      <c r="L58" s="456"/>
      <c r="M58" s="456"/>
      <c r="N58" s="456"/>
      <c r="O58" s="456"/>
      <c r="P58" s="456"/>
      <c r="Q58" s="456"/>
      <c r="R58" s="456"/>
      <c r="S58" s="456"/>
      <c r="T58" s="456"/>
      <c r="U58" s="456"/>
      <c r="V58" s="456"/>
      <c r="W58" s="456"/>
      <c r="X58" s="456"/>
      <c r="Y58" s="456"/>
      <c r="Z58" s="456"/>
      <c r="AA58" s="456"/>
      <c r="AB58" s="456"/>
      <c r="AC58" s="251">
        <v>0.45600000000000002</v>
      </c>
      <c r="AD58" s="615" t="s">
        <v>17</v>
      </c>
      <c r="AE58" s="138">
        <f>'Ribassi PE'!$K$19</f>
        <v>0.56999999999999995</v>
      </c>
      <c r="AF58" s="252">
        <f t="shared" si="20"/>
        <v>0.19600000000000001</v>
      </c>
      <c r="AG58" s="138">
        <f>'Ribassi PE'!$M$19</f>
        <v>0.2293</v>
      </c>
      <c r="AH58" s="252">
        <f t="shared" si="21"/>
        <v>0.35099999999999998</v>
      </c>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6"/>
      <c r="BF58" s="576"/>
      <c r="BG58" s="577"/>
    </row>
    <row r="59" spans="1:59" ht="12" thickBot="1" x14ac:dyDescent="0.25">
      <c r="A59" s="575"/>
      <c r="B59" s="540" t="s">
        <v>822</v>
      </c>
      <c r="C59" s="998" t="s">
        <v>786</v>
      </c>
      <c r="D59" s="986" t="s">
        <v>845</v>
      </c>
      <c r="E59" s="542" t="s">
        <v>851</v>
      </c>
      <c r="F59" s="279" t="s">
        <v>870</v>
      </c>
      <c r="G59" s="279"/>
      <c r="H59" s="280" t="s">
        <v>876</v>
      </c>
      <c r="I59" s="859"/>
      <c r="J59" s="461"/>
      <c r="K59" s="461"/>
      <c r="L59" s="461"/>
      <c r="M59" s="461"/>
      <c r="N59" s="461"/>
      <c r="O59" s="461"/>
      <c r="P59" s="461"/>
      <c r="Q59" s="461"/>
      <c r="R59" s="461"/>
      <c r="S59" s="461"/>
      <c r="T59" s="461"/>
      <c r="U59" s="461"/>
      <c r="V59" s="461"/>
      <c r="W59" s="461"/>
      <c r="X59" s="461"/>
      <c r="Y59" s="461"/>
      <c r="Z59" s="461"/>
      <c r="AA59" s="461"/>
      <c r="AB59" s="461"/>
      <c r="AC59" s="265">
        <v>0.23599999999999999</v>
      </c>
      <c r="AD59" s="614" t="s">
        <v>17</v>
      </c>
      <c r="AE59" s="266">
        <f>'Ribassi PE'!$K$20</f>
        <v>0.56999999999999995</v>
      </c>
      <c r="AF59" s="267">
        <f t="shared" si="20"/>
        <v>0.10100000000000001</v>
      </c>
      <c r="AG59" s="266">
        <f>'Ribassi PE'!$M$20</f>
        <v>0.2293</v>
      </c>
      <c r="AH59" s="267">
        <f t="shared" si="21"/>
        <v>0.182</v>
      </c>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6"/>
      <c r="BF59" s="576"/>
      <c r="BG59" s="577"/>
    </row>
    <row r="60" spans="1:59" ht="12" thickBot="1" x14ac:dyDescent="0.25">
      <c r="A60" s="575"/>
      <c r="B60" s="548" t="s">
        <v>823</v>
      </c>
      <c r="C60" s="1000"/>
      <c r="D60" s="989"/>
      <c r="E60" s="544" t="s">
        <v>852</v>
      </c>
      <c r="F60" s="283" t="s">
        <v>870</v>
      </c>
      <c r="G60" s="283"/>
      <c r="H60" s="284" t="s">
        <v>876</v>
      </c>
      <c r="I60" s="858"/>
      <c r="J60" s="460"/>
      <c r="K60" s="460"/>
      <c r="L60" s="460"/>
      <c r="M60" s="460"/>
      <c r="N60" s="460"/>
      <c r="O60" s="460"/>
      <c r="P60" s="460"/>
      <c r="Q60" s="460"/>
      <c r="R60" s="460"/>
      <c r="S60" s="460"/>
      <c r="T60" s="460"/>
      <c r="U60" s="460"/>
      <c r="V60" s="460"/>
      <c r="W60" s="460"/>
      <c r="X60" s="460"/>
      <c r="Y60" s="460"/>
      <c r="Z60" s="460"/>
      <c r="AA60" s="460"/>
      <c r="AB60" s="460"/>
      <c r="AC60" s="271">
        <v>0.71</v>
      </c>
      <c r="AD60" s="614" t="s">
        <v>17</v>
      </c>
      <c r="AE60" s="135">
        <f>'Ribassi PE'!$K$20</f>
        <v>0.56999999999999995</v>
      </c>
      <c r="AF60" s="272">
        <f t="shared" ref="AF60:AF83" si="40">ROUND(AC60*(1-AE60),3)</f>
        <v>0.30499999999999999</v>
      </c>
      <c r="AG60" s="135">
        <f>'Ribassi PE'!$M$20</f>
        <v>0.2293</v>
      </c>
      <c r="AH60" s="272">
        <f t="shared" ref="AH60:AH83" si="41">ROUND(AC60*(1-AG60),3)</f>
        <v>0.54700000000000004</v>
      </c>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6"/>
      <c r="BF60" s="576"/>
      <c r="BG60" s="577"/>
    </row>
    <row r="61" spans="1:59" ht="23.25" thickBot="1" x14ac:dyDescent="0.25">
      <c r="A61" s="575"/>
      <c r="B61" s="978" t="s">
        <v>824</v>
      </c>
      <c r="C61" s="998" t="s">
        <v>787</v>
      </c>
      <c r="D61" s="990" t="s">
        <v>845</v>
      </c>
      <c r="E61" s="981" t="s">
        <v>851</v>
      </c>
      <c r="F61" s="279" t="s">
        <v>869</v>
      </c>
      <c r="G61" s="279" t="s">
        <v>1194</v>
      </c>
      <c r="H61" s="280" t="s">
        <v>876</v>
      </c>
      <c r="I61" s="849">
        <v>352</v>
      </c>
      <c r="J61" s="454"/>
      <c r="K61" s="454"/>
      <c r="L61" s="454"/>
      <c r="M61" s="454"/>
      <c r="N61" s="454"/>
      <c r="O61" s="454"/>
      <c r="P61" s="454"/>
      <c r="Q61" s="454"/>
      <c r="R61" s="454"/>
      <c r="S61" s="454"/>
      <c r="T61" s="454"/>
      <c r="U61" s="454"/>
      <c r="V61" s="454"/>
      <c r="W61" s="454"/>
      <c r="X61" s="454"/>
      <c r="Y61" s="454"/>
      <c r="Z61" s="454"/>
      <c r="AA61" s="454"/>
      <c r="AB61" s="454"/>
      <c r="AC61" s="248">
        <v>0.38400000000000001</v>
      </c>
      <c r="AD61" s="613" t="s">
        <v>17</v>
      </c>
      <c r="AE61" s="249">
        <f>'Ribassi PE'!$K$21</f>
        <v>0.56999999999999995</v>
      </c>
      <c r="AF61" s="250">
        <f t="shared" si="40"/>
        <v>0.16500000000000001</v>
      </c>
      <c r="AG61" s="249">
        <f>'Ribassi PE'!$M$21</f>
        <v>0.2293</v>
      </c>
      <c r="AH61" s="250">
        <f t="shared" si="41"/>
        <v>0.29599999999999999</v>
      </c>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6"/>
      <c r="BF61" s="576"/>
      <c r="BG61" s="577"/>
    </row>
    <row r="62" spans="1:59" ht="23.25" thickBot="1" x14ac:dyDescent="0.25">
      <c r="A62" s="575"/>
      <c r="B62" s="979"/>
      <c r="C62" s="1001"/>
      <c r="D62" s="991"/>
      <c r="E62" s="982"/>
      <c r="F62" s="287" t="s">
        <v>869</v>
      </c>
      <c r="G62" s="287" t="s">
        <v>1195</v>
      </c>
      <c r="H62" s="288" t="s">
        <v>876</v>
      </c>
      <c r="I62" s="859"/>
      <c r="J62" s="461"/>
      <c r="K62" s="461"/>
      <c r="L62" s="461"/>
      <c r="M62" s="461"/>
      <c r="N62" s="461"/>
      <c r="O62" s="461"/>
      <c r="P62" s="461"/>
      <c r="Q62" s="461"/>
      <c r="R62" s="461"/>
      <c r="S62" s="461"/>
      <c r="T62" s="461"/>
      <c r="U62" s="461"/>
      <c r="V62" s="461"/>
      <c r="W62" s="461"/>
      <c r="X62" s="461"/>
      <c r="Y62" s="461"/>
      <c r="Z62" s="461"/>
      <c r="AA62" s="461"/>
      <c r="AB62" s="461"/>
      <c r="AC62" s="265">
        <f>1.2*0.384</f>
        <v>0.46079999999999999</v>
      </c>
      <c r="AD62" s="614" t="s">
        <v>17</v>
      </c>
      <c r="AE62" s="167">
        <f>'Ribassi PE'!$K$21</f>
        <v>0.56999999999999995</v>
      </c>
      <c r="AF62" s="168">
        <f t="shared" ref="AF62:AF63" si="42">ROUND(AC62*(1-AE62),3)</f>
        <v>0.19800000000000001</v>
      </c>
      <c r="AG62" s="167">
        <f>'Ribassi PE'!$M$21</f>
        <v>0.2293</v>
      </c>
      <c r="AH62" s="168">
        <f t="shared" ref="AH62:AH63" si="43">ROUND(AC62*(1-AG62),3)</f>
        <v>0.35499999999999998</v>
      </c>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6"/>
      <c r="BF62" s="576"/>
      <c r="BG62" s="577"/>
    </row>
    <row r="63" spans="1:59" ht="23.25" thickBot="1" x14ac:dyDescent="0.25">
      <c r="A63" s="575"/>
      <c r="B63" s="980"/>
      <c r="C63" s="1001"/>
      <c r="D63" s="991"/>
      <c r="E63" s="983"/>
      <c r="F63" s="287" t="s">
        <v>869</v>
      </c>
      <c r="G63" s="287" t="s">
        <v>1196</v>
      </c>
      <c r="H63" s="288" t="s">
        <v>876</v>
      </c>
      <c r="I63" s="859"/>
      <c r="J63" s="461"/>
      <c r="K63" s="461"/>
      <c r="L63" s="461"/>
      <c r="M63" s="461"/>
      <c r="N63" s="461"/>
      <c r="O63" s="461"/>
      <c r="P63" s="461"/>
      <c r="Q63" s="461"/>
      <c r="R63" s="461"/>
      <c r="S63" s="461"/>
      <c r="T63" s="461"/>
      <c r="U63" s="461"/>
      <c r="V63" s="461"/>
      <c r="W63" s="461"/>
      <c r="X63" s="461"/>
      <c r="Y63" s="461"/>
      <c r="Z63" s="461"/>
      <c r="AA63" s="461"/>
      <c r="AB63" s="461"/>
      <c r="AC63" s="265">
        <f>1.4*0.384</f>
        <v>0.53759999999999997</v>
      </c>
      <c r="AD63" s="614" t="s">
        <v>17</v>
      </c>
      <c r="AE63" s="167">
        <f>'Ribassi PE'!$K$21</f>
        <v>0.56999999999999995</v>
      </c>
      <c r="AF63" s="168">
        <f t="shared" si="42"/>
        <v>0.23100000000000001</v>
      </c>
      <c r="AG63" s="167">
        <f>'Ribassi PE'!$M$21</f>
        <v>0.2293</v>
      </c>
      <c r="AH63" s="168">
        <f t="shared" si="43"/>
        <v>0.41399999999999998</v>
      </c>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6"/>
      <c r="BF63" s="576"/>
      <c r="BG63" s="577"/>
    </row>
    <row r="64" spans="1:59" ht="23.25" thickBot="1" x14ac:dyDescent="0.25">
      <c r="A64" s="575"/>
      <c r="B64" s="985" t="s">
        <v>825</v>
      </c>
      <c r="C64" s="999"/>
      <c r="D64" s="991"/>
      <c r="E64" s="984" t="s">
        <v>852</v>
      </c>
      <c r="F64" s="281" t="s">
        <v>869</v>
      </c>
      <c r="G64" s="281" t="s">
        <v>1194</v>
      </c>
      <c r="H64" s="282" t="s">
        <v>876</v>
      </c>
      <c r="I64" s="850">
        <v>352</v>
      </c>
      <c r="J64" s="455"/>
      <c r="K64" s="455"/>
      <c r="L64" s="455"/>
      <c r="M64" s="455"/>
      <c r="N64" s="455"/>
      <c r="O64" s="455"/>
      <c r="P64" s="455"/>
      <c r="Q64" s="455"/>
      <c r="R64" s="455"/>
      <c r="S64" s="455"/>
      <c r="T64" s="455"/>
      <c r="U64" s="455"/>
      <c r="V64" s="455"/>
      <c r="W64" s="455"/>
      <c r="X64" s="455"/>
      <c r="Y64" s="455"/>
      <c r="Z64" s="455"/>
      <c r="AA64" s="455"/>
      <c r="AB64" s="455"/>
      <c r="AC64" s="134">
        <v>1.151</v>
      </c>
      <c r="AD64" s="614" t="s">
        <v>17</v>
      </c>
      <c r="AE64" s="167">
        <f>'Ribassi PE'!$K$21</f>
        <v>0.56999999999999995</v>
      </c>
      <c r="AF64" s="168">
        <f t="shared" si="40"/>
        <v>0.495</v>
      </c>
      <c r="AG64" s="167">
        <f>'Ribassi PE'!$M$21</f>
        <v>0.2293</v>
      </c>
      <c r="AH64" s="168">
        <f t="shared" si="41"/>
        <v>0.88700000000000001</v>
      </c>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6"/>
      <c r="BF64" s="576"/>
      <c r="BG64" s="577"/>
    </row>
    <row r="65" spans="1:59" ht="23.25" thickBot="1" x14ac:dyDescent="0.25">
      <c r="A65" s="575"/>
      <c r="B65" s="979"/>
      <c r="C65" s="999"/>
      <c r="D65" s="991"/>
      <c r="E65" s="982"/>
      <c r="F65" s="281" t="s">
        <v>869</v>
      </c>
      <c r="G65" s="281" t="s">
        <v>1195</v>
      </c>
      <c r="H65" s="282" t="s">
        <v>876</v>
      </c>
      <c r="I65" s="850"/>
      <c r="J65" s="455"/>
      <c r="K65" s="455"/>
      <c r="L65" s="455"/>
      <c r="M65" s="455"/>
      <c r="N65" s="455"/>
      <c r="O65" s="455"/>
      <c r="P65" s="455"/>
      <c r="Q65" s="455"/>
      <c r="R65" s="455"/>
      <c r="S65" s="455"/>
      <c r="T65" s="455"/>
      <c r="U65" s="455"/>
      <c r="V65" s="455"/>
      <c r="W65" s="455"/>
      <c r="X65" s="455"/>
      <c r="Y65" s="455"/>
      <c r="Z65" s="455"/>
      <c r="AA65" s="455"/>
      <c r="AB65" s="455"/>
      <c r="AC65" s="134">
        <f>1.2*1.151</f>
        <v>1.3812</v>
      </c>
      <c r="AD65" s="614" t="s">
        <v>17</v>
      </c>
      <c r="AE65" s="167">
        <f>'Ribassi PE'!$K$21</f>
        <v>0.56999999999999995</v>
      </c>
      <c r="AF65" s="168">
        <f t="shared" ref="AF65" si="44">ROUND(AC65*(1-AE65),3)</f>
        <v>0.59399999999999997</v>
      </c>
      <c r="AG65" s="167">
        <f>'Ribassi PE'!$M$21</f>
        <v>0.2293</v>
      </c>
      <c r="AH65" s="168">
        <f t="shared" ref="AH65" si="45">ROUND(AC65*(1-AG65),3)</f>
        <v>1.0640000000000001</v>
      </c>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6"/>
      <c r="BF65" s="576"/>
      <c r="BG65" s="577"/>
    </row>
    <row r="66" spans="1:59" ht="23.25" thickBot="1" x14ac:dyDescent="0.25">
      <c r="A66" s="575"/>
      <c r="B66" s="980"/>
      <c r="C66" s="999"/>
      <c r="D66" s="987"/>
      <c r="E66" s="983"/>
      <c r="F66" s="281" t="s">
        <v>869</v>
      </c>
      <c r="G66" s="281" t="s">
        <v>1196</v>
      </c>
      <c r="H66" s="282" t="s">
        <v>876</v>
      </c>
      <c r="I66" s="850"/>
      <c r="J66" s="455"/>
      <c r="K66" s="455"/>
      <c r="L66" s="455"/>
      <c r="M66" s="455"/>
      <c r="N66" s="455"/>
      <c r="O66" s="455"/>
      <c r="P66" s="455"/>
      <c r="Q66" s="455"/>
      <c r="R66" s="455"/>
      <c r="S66" s="455"/>
      <c r="T66" s="455"/>
      <c r="U66" s="455"/>
      <c r="V66" s="455"/>
      <c r="W66" s="455"/>
      <c r="X66" s="455"/>
      <c r="Y66" s="455"/>
      <c r="Z66" s="455"/>
      <c r="AA66" s="455"/>
      <c r="AB66" s="455"/>
      <c r="AC66" s="134">
        <f>1.4*1.151</f>
        <v>1.6113999999999999</v>
      </c>
      <c r="AD66" s="614" t="s">
        <v>17</v>
      </c>
      <c r="AE66" s="167">
        <f>'Ribassi PE'!$K$21</f>
        <v>0.56999999999999995</v>
      </c>
      <c r="AF66" s="168">
        <f t="shared" ref="AF66" si="46">ROUND(AC66*(1-AE66),3)</f>
        <v>0.69299999999999995</v>
      </c>
      <c r="AG66" s="167">
        <f>'Ribassi PE'!$M$21</f>
        <v>0.2293</v>
      </c>
      <c r="AH66" s="168">
        <f t="shared" ref="AH66" si="47">ROUND(AC66*(1-AG66),3)</f>
        <v>1.242</v>
      </c>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6"/>
      <c r="BF66" s="576"/>
      <c r="BG66" s="577"/>
    </row>
    <row r="67" spans="1:59" ht="23.25" thickBot="1" x14ac:dyDescent="0.25">
      <c r="A67" s="575"/>
      <c r="B67" s="985" t="s">
        <v>826</v>
      </c>
      <c r="C67" s="999"/>
      <c r="D67" s="992" t="s">
        <v>849</v>
      </c>
      <c r="E67" s="984" t="s">
        <v>856</v>
      </c>
      <c r="F67" s="281" t="s">
        <v>869</v>
      </c>
      <c r="G67" s="281" t="s">
        <v>1194</v>
      </c>
      <c r="H67" s="282" t="s">
        <v>877</v>
      </c>
      <c r="I67" s="850">
        <v>6</v>
      </c>
      <c r="J67" s="455"/>
      <c r="K67" s="455"/>
      <c r="L67" s="455"/>
      <c r="M67" s="455"/>
      <c r="N67" s="455"/>
      <c r="O67" s="455"/>
      <c r="P67" s="455"/>
      <c r="Q67" s="455"/>
      <c r="R67" s="455"/>
      <c r="S67" s="455"/>
      <c r="T67" s="455"/>
      <c r="U67" s="455"/>
      <c r="V67" s="455"/>
      <c r="W67" s="455"/>
      <c r="X67" s="455"/>
      <c r="Y67" s="455"/>
      <c r="Z67" s="455"/>
      <c r="AA67" s="455"/>
      <c r="AB67" s="455"/>
      <c r="AC67" s="134">
        <v>3.8380000000000001</v>
      </c>
      <c r="AD67" s="614" t="s">
        <v>17</v>
      </c>
      <c r="AE67" s="165">
        <f>'Ribassi PE'!$K$21</f>
        <v>0.56999999999999995</v>
      </c>
      <c r="AF67" s="169">
        <f t="shared" si="40"/>
        <v>1.65</v>
      </c>
      <c r="AG67" s="165">
        <f>'Ribassi PE'!$M$21</f>
        <v>0.2293</v>
      </c>
      <c r="AH67" s="169">
        <f t="shared" si="41"/>
        <v>2.9580000000000002</v>
      </c>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6"/>
      <c r="BF67" s="576"/>
      <c r="BG67" s="577"/>
    </row>
    <row r="68" spans="1:59" ht="23.25" thickBot="1" x14ac:dyDescent="0.25">
      <c r="A68" s="575"/>
      <c r="B68" s="979"/>
      <c r="C68" s="999"/>
      <c r="D68" s="991"/>
      <c r="E68" s="982"/>
      <c r="F68" s="281" t="s">
        <v>869</v>
      </c>
      <c r="G68" s="281" t="s">
        <v>1195</v>
      </c>
      <c r="H68" s="282" t="s">
        <v>877</v>
      </c>
      <c r="I68" s="850"/>
      <c r="J68" s="455"/>
      <c r="K68" s="455"/>
      <c r="L68" s="455"/>
      <c r="M68" s="455"/>
      <c r="N68" s="455"/>
      <c r="O68" s="455"/>
      <c r="P68" s="455"/>
      <c r="Q68" s="455"/>
      <c r="R68" s="455"/>
      <c r="S68" s="455"/>
      <c r="T68" s="455"/>
      <c r="U68" s="455"/>
      <c r="V68" s="455"/>
      <c r="W68" s="455"/>
      <c r="X68" s="455"/>
      <c r="Y68" s="455"/>
      <c r="Z68" s="455"/>
      <c r="AA68" s="455"/>
      <c r="AB68" s="455"/>
      <c r="AC68" s="134">
        <f>1.2*3.838</f>
        <v>4.6055999999999999</v>
      </c>
      <c r="AD68" s="614" t="s">
        <v>17</v>
      </c>
      <c r="AE68" s="165">
        <f>'Ribassi PE'!$K$21</f>
        <v>0.56999999999999995</v>
      </c>
      <c r="AF68" s="169">
        <f t="shared" ref="AF68" si="48">ROUND(AC68*(1-AE68),3)</f>
        <v>1.98</v>
      </c>
      <c r="AG68" s="165">
        <f>'Ribassi PE'!$M$21</f>
        <v>0.2293</v>
      </c>
      <c r="AH68" s="169">
        <f t="shared" ref="AH68" si="49">ROUND(AC68*(1-AG68),3)</f>
        <v>3.55</v>
      </c>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6"/>
      <c r="BF68" s="576"/>
      <c r="BG68" s="577"/>
    </row>
    <row r="69" spans="1:59" ht="23.25" thickBot="1" x14ac:dyDescent="0.25">
      <c r="A69" s="575"/>
      <c r="B69" s="980"/>
      <c r="C69" s="999"/>
      <c r="D69" s="987"/>
      <c r="E69" s="983"/>
      <c r="F69" s="281" t="s">
        <v>869</v>
      </c>
      <c r="G69" s="281" t="s">
        <v>1196</v>
      </c>
      <c r="H69" s="282" t="s">
        <v>877</v>
      </c>
      <c r="I69" s="850"/>
      <c r="J69" s="455"/>
      <c r="K69" s="455"/>
      <c r="L69" s="455"/>
      <c r="M69" s="455"/>
      <c r="N69" s="455"/>
      <c r="O69" s="455"/>
      <c r="P69" s="455"/>
      <c r="Q69" s="455"/>
      <c r="R69" s="455"/>
      <c r="S69" s="455"/>
      <c r="T69" s="455"/>
      <c r="U69" s="455"/>
      <c r="V69" s="455"/>
      <c r="W69" s="455"/>
      <c r="X69" s="455"/>
      <c r="Y69" s="455"/>
      <c r="Z69" s="455"/>
      <c r="AA69" s="455"/>
      <c r="AB69" s="455"/>
      <c r="AC69" s="134">
        <f>1.4*3.838</f>
        <v>5.3731999999999998</v>
      </c>
      <c r="AD69" s="614" t="s">
        <v>17</v>
      </c>
      <c r="AE69" s="165">
        <f>'Ribassi PE'!$K$21</f>
        <v>0.56999999999999995</v>
      </c>
      <c r="AF69" s="169">
        <f t="shared" ref="AF69" si="50">ROUND(AC69*(1-AE69),3)</f>
        <v>2.31</v>
      </c>
      <c r="AG69" s="165">
        <f>'Ribassi PE'!$M$21</f>
        <v>0.2293</v>
      </c>
      <c r="AH69" s="169">
        <f t="shared" ref="AH69" si="51">ROUND(AC69*(1-AG69),3)</f>
        <v>4.141</v>
      </c>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6"/>
      <c r="BF69" s="576"/>
      <c r="BG69" s="577"/>
    </row>
    <row r="70" spans="1:59" ht="23.25" thickBot="1" x14ac:dyDescent="0.25">
      <c r="A70" s="575"/>
      <c r="B70" s="985" t="s">
        <v>827</v>
      </c>
      <c r="C70" s="999"/>
      <c r="D70" s="988" t="s">
        <v>846</v>
      </c>
      <c r="E70" s="984" t="s">
        <v>864</v>
      </c>
      <c r="F70" s="281" t="s">
        <v>869</v>
      </c>
      <c r="G70" s="281" t="s">
        <v>1194</v>
      </c>
      <c r="H70" s="282" t="s">
        <v>876</v>
      </c>
      <c r="I70" s="850"/>
      <c r="J70" s="455"/>
      <c r="K70" s="455"/>
      <c r="L70" s="455"/>
      <c r="M70" s="455"/>
      <c r="N70" s="455"/>
      <c r="O70" s="455"/>
      <c r="P70" s="455"/>
      <c r="Q70" s="455"/>
      <c r="R70" s="455"/>
      <c r="S70" s="455"/>
      <c r="T70" s="455"/>
      <c r="U70" s="455"/>
      <c r="V70" s="455"/>
      <c r="W70" s="455"/>
      <c r="X70" s="455"/>
      <c r="Y70" s="455"/>
      <c r="Z70" s="455"/>
      <c r="AA70" s="455"/>
      <c r="AB70" s="455"/>
      <c r="AC70" s="134">
        <v>0.92100000000000004</v>
      </c>
      <c r="AD70" s="614" t="s">
        <v>17</v>
      </c>
      <c r="AE70" s="135">
        <f>'Ribassi PE'!$K$21</f>
        <v>0.56999999999999995</v>
      </c>
      <c r="AF70" s="136">
        <f t="shared" si="40"/>
        <v>0.39600000000000002</v>
      </c>
      <c r="AG70" s="135">
        <f>'Ribassi PE'!$M$21</f>
        <v>0.2293</v>
      </c>
      <c r="AH70" s="136">
        <f t="shared" si="41"/>
        <v>0.71</v>
      </c>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6"/>
      <c r="BF70" s="576"/>
      <c r="BG70" s="577"/>
    </row>
    <row r="71" spans="1:59" ht="23.25" thickBot="1" x14ac:dyDescent="0.25">
      <c r="A71" s="575"/>
      <c r="B71" s="979"/>
      <c r="C71" s="999"/>
      <c r="D71" s="988"/>
      <c r="E71" s="982"/>
      <c r="F71" s="281" t="s">
        <v>869</v>
      </c>
      <c r="G71" s="281" t="s">
        <v>1195</v>
      </c>
      <c r="H71" s="282" t="s">
        <v>876</v>
      </c>
      <c r="I71" s="850"/>
      <c r="J71" s="455"/>
      <c r="K71" s="455"/>
      <c r="L71" s="455"/>
      <c r="M71" s="455"/>
      <c r="N71" s="455"/>
      <c r="O71" s="455"/>
      <c r="P71" s="455"/>
      <c r="Q71" s="455"/>
      <c r="R71" s="455"/>
      <c r="S71" s="455"/>
      <c r="T71" s="455"/>
      <c r="U71" s="455"/>
      <c r="V71" s="455"/>
      <c r="W71" s="455"/>
      <c r="X71" s="455"/>
      <c r="Y71" s="455"/>
      <c r="Z71" s="455"/>
      <c r="AA71" s="455"/>
      <c r="AB71" s="455"/>
      <c r="AC71" s="134">
        <f>1.2*0.921</f>
        <v>1.1052</v>
      </c>
      <c r="AD71" s="614" t="s">
        <v>17</v>
      </c>
      <c r="AE71" s="135">
        <f>'Ribassi PE'!$K$21</f>
        <v>0.56999999999999995</v>
      </c>
      <c r="AF71" s="136">
        <f t="shared" ref="AF71" si="52">ROUND(AC71*(1-AE71),3)</f>
        <v>0.47499999999999998</v>
      </c>
      <c r="AG71" s="135">
        <f>'Ribassi PE'!$M$21</f>
        <v>0.2293</v>
      </c>
      <c r="AH71" s="136">
        <f t="shared" ref="AH71" si="53">ROUND(AC71*(1-AG71),3)</f>
        <v>0.85199999999999998</v>
      </c>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6"/>
      <c r="BF71" s="576"/>
      <c r="BG71" s="577"/>
    </row>
    <row r="72" spans="1:59" ht="23.25" thickBot="1" x14ac:dyDescent="0.25">
      <c r="A72" s="575"/>
      <c r="B72" s="980"/>
      <c r="C72" s="999"/>
      <c r="D72" s="988"/>
      <c r="E72" s="983"/>
      <c r="F72" s="281" t="s">
        <v>869</v>
      </c>
      <c r="G72" s="281" t="s">
        <v>1196</v>
      </c>
      <c r="H72" s="282" t="s">
        <v>876</v>
      </c>
      <c r="I72" s="850"/>
      <c r="J72" s="455"/>
      <c r="K72" s="455"/>
      <c r="L72" s="455"/>
      <c r="M72" s="455"/>
      <c r="N72" s="455"/>
      <c r="O72" s="455"/>
      <c r="P72" s="455"/>
      <c r="Q72" s="455"/>
      <c r="R72" s="455"/>
      <c r="S72" s="455"/>
      <c r="T72" s="455"/>
      <c r="U72" s="455"/>
      <c r="V72" s="455"/>
      <c r="W72" s="455"/>
      <c r="X72" s="455"/>
      <c r="Y72" s="455"/>
      <c r="Z72" s="455"/>
      <c r="AA72" s="455"/>
      <c r="AB72" s="455"/>
      <c r="AC72" s="134">
        <f>1.4*0.921</f>
        <v>1.2893999999999999</v>
      </c>
      <c r="AD72" s="614" t="s">
        <v>17</v>
      </c>
      <c r="AE72" s="135">
        <f>'Ribassi PE'!$K$21</f>
        <v>0.56999999999999995</v>
      </c>
      <c r="AF72" s="136">
        <f t="shared" ref="AF72" si="54">ROUND(AC72*(1-AE72),3)</f>
        <v>0.55400000000000005</v>
      </c>
      <c r="AG72" s="135">
        <f>'Ribassi PE'!$M$21</f>
        <v>0.2293</v>
      </c>
      <c r="AH72" s="136">
        <f t="shared" ref="AH72" si="55">ROUND(AC72*(1-AG72),3)</f>
        <v>0.99399999999999999</v>
      </c>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6"/>
      <c r="BF72" s="576"/>
      <c r="BG72" s="577"/>
    </row>
    <row r="73" spans="1:59" ht="23.25" thickBot="1" x14ac:dyDescent="0.25">
      <c r="A73" s="575"/>
      <c r="B73" s="985" t="s">
        <v>828</v>
      </c>
      <c r="C73" s="999"/>
      <c r="D73" s="988"/>
      <c r="E73" s="984" t="s">
        <v>865</v>
      </c>
      <c r="F73" s="281" t="s">
        <v>869</v>
      </c>
      <c r="G73" s="281" t="s">
        <v>1194</v>
      </c>
      <c r="H73" s="282" t="s">
        <v>877</v>
      </c>
      <c r="I73" s="850">
        <v>42</v>
      </c>
      <c r="J73" s="455"/>
      <c r="K73" s="455"/>
      <c r="L73" s="455"/>
      <c r="M73" s="455"/>
      <c r="N73" s="455"/>
      <c r="O73" s="455"/>
      <c r="P73" s="455"/>
      <c r="Q73" s="455"/>
      <c r="R73" s="455"/>
      <c r="S73" s="455"/>
      <c r="T73" s="455"/>
      <c r="U73" s="455"/>
      <c r="V73" s="455"/>
      <c r="W73" s="455"/>
      <c r="X73" s="455"/>
      <c r="Y73" s="455"/>
      <c r="Z73" s="455"/>
      <c r="AA73" s="455"/>
      <c r="AB73" s="455"/>
      <c r="AC73" s="164">
        <v>1.919</v>
      </c>
      <c r="AD73" s="614" t="s">
        <v>17</v>
      </c>
      <c r="AE73" s="165">
        <f>'Ribassi PE'!$K$21</f>
        <v>0.56999999999999995</v>
      </c>
      <c r="AF73" s="166">
        <f t="shared" si="40"/>
        <v>0.82499999999999996</v>
      </c>
      <c r="AG73" s="165">
        <f>'Ribassi PE'!$M$21</f>
        <v>0.2293</v>
      </c>
      <c r="AH73" s="166">
        <f t="shared" si="41"/>
        <v>1.4790000000000001</v>
      </c>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6"/>
      <c r="BF73" s="576"/>
      <c r="BG73" s="577"/>
    </row>
    <row r="74" spans="1:59" ht="23.25" thickBot="1" x14ac:dyDescent="0.25">
      <c r="A74" s="575"/>
      <c r="B74" s="979"/>
      <c r="C74" s="999"/>
      <c r="D74" s="988"/>
      <c r="E74" s="982"/>
      <c r="F74" s="281" t="s">
        <v>869</v>
      </c>
      <c r="G74" s="281" t="s">
        <v>1195</v>
      </c>
      <c r="H74" s="282" t="s">
        <v>877</v>
      </c>
      <c r="I74" s="850"/>
      <c r="J74" s="455"/>
      <c r="K74" s="455"/>
      <c r="L74" s="455"/>
      <c r="M74" s="455"/>
      <c r="N74" s="455"/>
      <c r="O74" s="455"/>
      <c r="P74" s="455"/>
      <c r="Q74" s="455"/>
      <c r="R74" s="455"/>
      <c r="S74" s="455"/>
      <c r="T74" s="455"/>
      <c r="U74" s="455"/>
      <c r="V74" s="455"/>
      <c r="W74" s="455"/>
      <c r="X74" s="455"/>
      <c r="Y74" s="455"/>
      <c r="Z74" s="455"/>
      <c r="AA74" s="455"/>
      <c r="AB74" s="455"/>
      <c r="AC74" s="164">
        <f>1.2*1.919</f>
        <v>2.3028</v>
      </c>
      <c r="AD74" s="614" t="s">
        <v>17</v>
      </c>
      <c r="AE74" s="165">
        <f>'Ribassi PE'!$K$21</f>
        <v>0.56999999999999995</v>
      </c>
      <c r="AF74" s="166">
        <f t="shared" ref="AF74" si="56">ROUND(AC74*(1-AE74),3)</f>
        <v>0.99</v>
      </c>
      <c r="AG74" s="165">
        <f>'Ribassi PE'!$M$21</f>
        <v>0.2293</v>
      </c>
      <c r="AH74" s="166">
        <f t="shared" ref="AH74" si="57">ROUND(AC74*(1-AG74),3)</f>
        <v>1.7749999999999999</v>
      </c>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6"/>
      <c r="BF74" s="576"/>
      <c r="BG74" s="577"/>
    </row>
    <row r="75" spans="1:59" ht="23.25" thickBot="1" x14ac:dyDescent="0.25">
      <c r="A75" s="575"/>
      <c r="B75" s="980"/>
      <c r="C75" s="999"/>
      <c r="D75" s="988"/>
      <c r="E75" s="983"/>
      <c r="F75" s="281" t="s">
        <v>869</v>
      </c>
      <c r="G75" s="281" t="s">
        <v>1196</v>
      </c>
      <c r="H75" s="282" t="s">
        <v>877</v>
      </c>
      <c r="I75" s="850"/>
      <c r="J75" s="455"/>
      <c r="K75" s="455"/>
      <c r="L75" s="455"/>
      <c r="M75" s="455"/>
      <c r="N75" s="455"/>
      <c r="O75" s="455"/>
      <c r="P75" s="455"/>
      <c r="Q75" s="455"/>
      <c r="R75" s="455"/>
      <c r="S75" s="455"/>
      <c r="T75" s="455"/>
      <c r="U75" s="455"/>
      <c r="V75" s="455"/>
      <c r="W75" s="455"/>
      <c r="X75" s="455"/>
      <c r="Y75" s="455"/>
      <c r="Z75" s="455"/>
      <c r="AA75" s="455"/>
      <c r="AB75" s="455"/>
      <c r="AC75" s="164">
        <f>1.4*1.919</f>
        <v>2.6865999999999999</v>
      </c>
      <c r="AD75" s="614" t="s">
        <v>17</v>
      </c>
      <c r="AE75" s="165">
        <f>'Ribassi PE'!$K$21</f>
        <v>0.56999999999999995</v>
      </c>
      <c r="AF75" s="166">
        <f t="shared" ref="AF75" si="58">ROUND(AC75*(1-AE75),3)</f>
        <v>1.155</v>
      </c>
      <c r="AG75" s="165">
        <f>'Ribassi PE'!$M$21</f>
        <v>0.2293</v>
      </c>
      <c r="AH75" s="166">
        <f t="shared" ref="AH75" si="59">ROUND(AC75*(1-AG75),3)</f>
        <v>2.0710000000000002</v>
      </c>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6"/>
      <c r="BF75" s="576"/>
      <c r="BG75" s="577"/>
    </row>
    <row r="76" spans="1:59" ht="45.75" thickBot="1" x14ac:dyDescent="0.25">
      <c r="A76" s="575"/>
      <c r="B76" s="541" t="s">
        <v>829</v>
      </c>
      <c r="C76" s="999"/>
      <c r="D76" s="988"/>
      <c r="E76" s="543" t="s">
        <v>866</v>
      </c>
      <c r="F76" s="281" t="s">
        <v>871</v>
      </c>
      <c r="G76" s="281"/>
      <c r="H76" s="282" t="s">
        <v>877</v>
      </c>
      <c r="I76" s="850">
        <v>16</v>
      </c>
      <c r="J76" s="455"/>
      <c r="K76" s="455"/>
      <c r="L76" s="455"/>
      <c r="M76" s="455"/>
      <c r="N76" s="455"/>
      <c r="O76" s="455"/>
      <c r="P76" s="455"/>
      <c r="Q76" s="455"/>
      <c r="R76" s="455"/>
      <c r="S76" s="455"/>
      <c r="T76" s="455"/>
      <c r="U76" s="455"/>
      <c r="V76" s="455"/>
      <c r="W76" s="455"/>
      <c r="X76" s="455"/>
      <c r="Y76" s="455"/>
      <c r="Z76" s="455"/>
      <c r="AA76" s="455"/>
      <c r="AB76" s="455"/>
      <c r="AC76" s="164">
        <v>0.218</v>
      </c>
      <c r="AD76" s="614" t="s">
        <v>17</v>
      </c>
      <c r="AE76" s="165">
        <f>'Ribassi PE'!$K$21</f>
        <v>0.56999999999999995</v>
      </c>
      <c r="AF76" s="166">
        <f t="shared" si="40"/>
        <v>9.4E-2</v>
      </c>
      <c r="AG76" s="165">
        <f>'Ribassi PE'!$M$21</f>
        <v>0.2293</v>
      </c>
      <c r="AH76" s="166">
        <f t="shared" si="41"/>
        <v>0.16800000000000001</v>
      </c>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6"/>
      <c r="BF76" s="576"/>
      <c r="BG76" s="577"/>
    </row>
    <row r="77" spans="1:59" ht="23.25" thickBot="1" x14ac:dyDescent="0.25">
      <c r="A77" s="575"/>
      <c r="B77" s="541" t="s">
        <v>830</v>
      </c>
      <c r="C77" s="999"/>
      <c r="D77" s="538" t="s">
        <v>847</v>
      </c>
      <c r="E77" s="543" t="s">
        <v>854</v>
      </c>
      <c r="F77" s="281" t="s">
        <v>871</v>
      </c>
      <c r="G77" s="281"/>
      <c r="H77" s="282" t="s">
        <v>877</v>
      </c>
      <c r="I77" s="850">
        <v>8</v>
      </c>
      <c r="J77" s="455"/>
      <c r="K77" s="455"/>
      <c r="L77" s="455"/>
      <c r="M77" s="455"/>
      <c r="N77" s="455"/>
      <c r="O77" s="455"/>
      <c r="P77" s="455"/>
      <c r="Q77" s="455"/>
      <c r="R77" s="455"/>
      <c r="S77" s="455"/>
      <c r="T77" s="455"/>
      <c r="U77" s="455"/>
      <c r="V77" s="455"/>
      <c r="W77" s="455"/>
      <c r="X77" s="455"/>
      <c r="Y77" s="455"/>
      <c r="Z77" s="455"/>
      <c r="AA77" s="455"/>
      <c r="AB77" s="455"/>
      <c r="AC77" s="134">
        <v>0.182</v>
      </c>
      <c r="AD77" s="614" t="s">
        <v>17</v>
      </c>
      <c r="AE77" s="135">
        <f>'Ribassi PE'!$K$21</f>
        <v>0.56999999999999995</v>
      </c>
      <c r="AF77" s="136">
        <f t="shared" si="40"/>
        <v>7.8E-2</v>
      </c>
      <c r="AG77" s="135">
        <f>'Ribassi PE'!$M$21</f>
        <v>0.2293</v>
      </c>
      <c r="AH77" s="136">
        <f t="shared" si="41"/>
        <v>0.14000000000000001</v>
      </c>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6"/>
      <c r="BF77" s="576"/>
      <c r="BG77" s="577"/>
    </row>
    <row r="78" spans="1:59" ht="23.25" thickBot="1" x14ac:dyDescent="0.25">
      <c r="A78" s="575"/>
      <c r="B78" s="548" t="s">
        <v>831</v>
      </c>
      <c r="C78" s="1000"/>
      <c r="D78" s="539" t="s">
        <v>848</v>
      </c>
      <c r="E78" s="285" t="s">
        <v>855</v>
      </c>
      <c r="F78" s="283" t="s">
        <v>874</v>
      </c>
      <c r="G78" s="283"/>
      <c r="H78" s="286" t="s">
        <v>876</v>
      </c>
      <c r="I78" s="851">
        <v>85</v>
      </c>
      <c r="J78" s="456"/>
      <c r="K78" s="456"/>
      <c r="L78" s="456"/>
      <c r="M78" s="456"/>
      <c r="N78" s="456"/>
      <c r="O78" s="456"/>
      <c r="P78" s="456"/>
      <c r="Q78" s="456"/>
      <c r="R78" s="456"/>
      <c r="S78" s="456"/>
      <c r="T78" s="456"/>
      <c r="U78" s="456"/>
      <c r="V78" s="456"/>
      <c r="W78" s="456"/>
      <c r="X78" s="456"/>
      <c r="Y78" s="456"/>
      <c r="Z78" s="456"/>
      <c r="AA78" s="456"/>
      <c r="AB78" s="456"/>
      <c r="AC78" s="251">
        <v>0.45600000000000002</v>
      </c>
      <c r="AD78" s="615" t="s">
        <v>17</v>
      </c>
      <c r="AE78" s="138">
        <f>'Ribassi PE'!$K$21</f>
        <v>0.56999999999999995</v>
      </c>
      <c r="AF78" s="252">
        <f t="shared" si="40"/>
        <v>0.19600000000000001</v>
      </c>
      <c r="AG78" s="138">
        <f>'Ribassi PE'!$M$21</f>
        <v>0.2293</v>
      </c>
      <c r="AH78" s="252">
        <f t="shared" si="41"/>
        <v>0.35099999999999998</v>
      </c>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6"/>
      <c r="BF78" s="576"/>
      <c r="BG78" s="577"/>
    </row>
    <row r="79" spans="1:59" ht="23.25" thickBot="1" x14ac:dyDescent="0.25">
      <c r="A79" s="575"/>
      <c r="B79" s="978" t="s">
        <v>832</v>
      </c>
      <c r="C79" s="998" t="s">
        <v>788</v>
      </c>
      <c r="D79" s="986" t="s">
        <v>845</v>
      </c>
      <c r="E79" s="981" t="s">
        <v>851</v>
      </c>
      <c r="F79" s="279" t="s">
        <v>869</v>
      </c>
      <c r="G79" s="279" t="s">
        <v>1194</v>
      </c>
      <c r="H79" s="280" t="s">
        <v>876</v>
      </c>
      <c r="I79" s="859">
        <v>12</v>
      </c>
      <c r="J79" s="461"/>
      <c r="K79" s="461"/>
      <c r="L79" s="461"/>
      <c r="M79" s="461"/>
      <c r="N79" s="461"/>
      <c r="O79" s="461"/>
      <c r="P79" s="461"/>
      <c r="Q79" s="461"/>
      <c r="R79" s="461"/>
      <c r="S79" s="461"/>
      <c r="T79" s="461"/>
      <c r="U79" s="461"/>
      <c r="V79" s="461"/>
      <c r="W79" s="461"/>
      <c r="X79" s="461"/>
      <c r="Y79" s="461"/>
      <c r="Z79" s="461"/>
      <c r="AA79" s="461"/>
      <c r="AB79" s="461"/>
      <c r="AC79" s="265">
        <v>0.38400000000000001</v>
      </c>
      <c r="AD79" s="614" t="s">
        <v>17</v>
      </c>
      <c r="AE79" s="266">
        <f>'Ribassi PE'!$K$22</f>
        <v>0.56999999999999995</v>
      </c>
      <c r="AF79" s="267">
        <f t="shared" si="40"/>
        <v>0.16500000000000001</v>
      </c>
      <c r="AG79" s="266">
        <f>'Ribassi PE'!$M$22</f>
        <v>0.2293</v>
      </c>
      <c r="AH79" s="267">
        <f t="shared" si="41"/>
        <v>0.29599999999999999</v>
      </c>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6"/>
      <c r="BF79" s="576"/>
      <c r="BG79" s="577"/>
    </row>
    <row r="80" spans="1:59" ht="23.25" thickBot="1" x14ac:dyDescent="0.25">
      <c r="A80" s="575"/>
      <c r="B80" s="979"/>
      <c r="C80" s="1001"/>
      <c r="D80" s="987"/>
      <c r="E80" s="982"/>
      <c r="F80" s="287" t="s">
        <v>869</v>
      </c>
      <c r="G80" s="287" t="s">
        <v>1195</v>
      </c>
      <c r="H80" s="288" t="s">
        <v>876</v>
      </c>
      <c r="I80" s="859"/>
      <c r="J80" s="461"/>
      <c r="K80" s="461"/>
      <c r="L80" s="461"/>
      <c r="M80" s="461"/>
      <c r="N80" s="461"/>
      <c r="O80" s="461"/>
      <c r="P80" s="461"/>
      <c r="Q80" s="461"/>
      <c r="R80" s="461"/>
      <c r="S80" s="461"/>
      <c r="T80" s="461"/>
      <c r="U80" s="461"/>
      <c r="V80" s="461"/>
      <c r="W80" s="461"/>
      <c r="X80" s="461"/>
      <c r="Y80" s="461"/>
      <c r="Z80" s="461"/>
      <c r="AA80" s="461"/>
      <c r="AB80" s="461"/>
      <c r="AC80" s="164">
        <f>1.2*0.384</f>
        <v>0.46079999999999999</v>
      </c>
      <c r="AD80" s="614" t="s">
        <v>17</v>
      </c>
      <c r="AE80" s="165">
        <f>'Ribassi PE'!$K$22</f>
        <v>0.56999999999999995</v>
      </c>
      <c r="AF80" s="166">
        <f t="shared" ref="AF80:AF81" si="60">ROUND(AC80*(1-AE80),3)</f>
        <v>0.19800000000000001</v>
      </c>
      <c r="AG80" s="165">
        <f>'Ribassi PE'!$M$22</f>
        <v>0.2293</v>
      </c>
      <c r="AH80" s="166">
        <f t="shared" ref="AH80:AH81" si="61">ROUND(AC80*(1-AG80),3)</f>
        <v>0.35499999999999998</v>
      </c>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6"/>
      <c r="BF80" s="576"/>
      <c r="BG80" s="577"/>
    </row>
    <row r="81" spans="1:59" ht="23.25" thickBot="1" x14ac:dyDescent="0.25">
      <c r="A81" s="575"/>
      <c r="B81" s="980"/>
      <c r="C81" s="1001"/>
      <c r="D81" s="987"/>
      <c r="E81" s="983"/>
      <c r="F81" s="287" t="s">
        <v>869</v>
      </c>
      <c r="G81" s="287" t="s">
        <v>1196</v>
      </c>
      <c r="H81" s="288" t="s">
        <v>876</v>
      </c>
      <c r="I81" s="859"/>
      <c r="J81" s="461"/>
      <c r="K81" s="461"/>
      <c r="L81" s="461"/>
      <c r="M81" s="461"/>
      <c r="N81" s="461"/>
      <c r="O81" s="461"/>
      <c r="P81" s="461"/>
      <c r="Q81" s="461"/>
      <c r="R81" s="461"/>
      <c r="S81" s="461"/>
      <c r="T81" s="461"/>
      <c r="U81" s="461"/>
      <c r="V81" s="461"/>
      <c r="W81" s="461"/>
      <c r="X81" s="461"/>
      <c r="Y81" s="461"/>
      <c r="Z81" s="461"/>
      <c r="AA81" s="461"/>
      <c r="AB81" s="461"/>
      <c r="AC81" s="265">
        <f>1.4*0.384</f>
        <v>0.53759999999999997</v>
      </c>
      <c r="AD81" s="614" t="s">
        <v>17</v>
      </c>
      <c r="AE81" s="266">
        <f>'Ribassi PE'!$K$22</f>
        <v>0.56999999999999995</v>
      </c>
      <c r="AF81" s="267">
        <f t="shared" si="60"/>
        <v>0.23100000000000001</v>
      </c>
      <c r="AG81" s="266">
        <f>'Ribassi PE'!$M$22</f>
        <v>0.2293</v>
      </c>
      <c r="AH81" s="267">
        <f t="shared" si="61"/>
        <v>0.41399999999999998</v>
      </c>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6"/>
      <c r="BF81" s="576"/>
      <c r="BG81" s="577"/>
    </row>
    <row r="82" spans="1:59" ht="12" thickBot="1" x14ac:dyDescent="0.25">
      <c r="A82" s="575"/>
      <c r="B82" s="541" t="s">
        <v>833</v>
      </c>
      <c r="C82" s="999"/>
      <c r="D82" s="988"/>
      <c r="E82" s="543" t="s">
        <v>852</v>
      </c>
      <c r="F82" s="281" t="s">
        <v>873</v>
      </c>
      <c r="G82" s="281"/>
      <c r="H82" s="282" t="s">
        <v>876</v>
      </c>
      <c r="I82" s="850">
        <v>12</v>
      </c>
      <c r="J82" s="455"/>
      <c r="K82" s="455"/>
      <c r="L82" s="455"/>
      <c r="M82" s="455"/>
      <c r="N82" s="455"/>
      <c r="O82" s="455"/>
      <c r="P82" s="455"/>
      <c r="Q82" s="455"/>
      <c r="R82" s="455"/>
      <c r="S82" s="455"/>
      <c r="T82" s="455"/>
      <c r="U82" s="455"/>
      <c r="V82" s="455"/>
      <c r="W82" s="455"/>
      <c r="X82" s="455"/>
      <c r="Y82" s="455"/>
      <c r="Z82" s="455"/>
      <c r="AA82" s="455"/>
      <c r="AB82" s="455"/>
      <c r="AC82" s="164">
        <v>0.47399999999999998</v>
      </c>
      <c r="AD82" s="614" t="s">
        <v>17</v>
      </c>
      <c r="AE82" s="165">
        <f>'Ribassi PE'!$K$22</f>
        <v>0.56999999999999995</v>
      </c>
      <c r="AF82" s="166">
        <f t="shared" si="40"/>
        <v>0.20399999999999999</v>
      </c>
      <c r="AG82" s="165">
        <f>'Ribassi PE'!$M$22</f>
        <v>0.2293</v>
      </c>
      <c r="AH82" s="166">
        <f t="shared" si="41"/>
        <v>0.36499999999999999</v>
      </c>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6"/>
      <c r="BF82" s="576"/>
      <c r="BG82" s="577"/>
    </row>
    <row r="83" spans="1:59" ht="34.5" thickBot="1" x14ac:dyDescent="0.25">
      <c r="A83" s="575"/>
      <c r="B83" s="541" t="s">
        <v>834</v>
      </c>
      <c r="C83" s="999"/>
      <c r="D83" s="538" t="s">
        <v>846</v>
      </c>
      <c r="E83" s="543" t="s">
        <v>853</v>
      </c>
      <c r="F83" s="281" t="s">
        <v>870</v>
      </c>
      <c r="G83" s="281"/>
      <c r="H83" s="282" t="s">
        <v>877</v>
      </c>
      <c r="I83" s="850">
        <v>5</v>
      </c>
      <c r="J83" s="455"/>
      <c r="K83" s="455"/>
      <c r="L83" s="455"/>
      <c r="M83" s="455"/>
      <c r="N83" s="455"/>
      <c r="O83" s="455"/>
      <c r="P83" s="455"/>
      <c r="Q83" s="455"/>
      <c r="R83" s="455"/>
      <c r="S83" s="455"/>
      <c r="T83" s="455"/>
      <c r="U83" s="455"/>
      <c r="V83" s="455"/>
      <c r="W83" s="455"/>
      <c r="X83" s="455"/>
      <c r="Y83" s="455"/>
      <c r="Z83" s="455"/>
      <c r="AA83" s="455"/>
      <c r="AB83" s="455"/>
      <c r="AC83" s="134">
        <v>11.356999999999999</v>
      </c>
      <c r="AD83" s="614" t="s">
        <v>17</v>
      </c>
      <c r="AE83" s="135">
        <f>'Ribassi PE'!$K$22</f>
        <v>0.56999999999999995</v>
      </c>
      <c r="AF83" s="136">
        <f t="shared" si="40"/>
        <v>4.8840000000000003</v>
      </c>
      <c r="AG83" s="135">
        <f>'Ribassi PE'!$M$22</f>
        <v>0.2293</v>
      </c>
      <c r="AH83" s="136">
        <f t="shared" si="41"/>
        <v>8.7530000000000001</v>
      </c>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6"/>
      <c r="BF83" s="576"/>
      <c r="BG83" s="577"/>
    </row>
    <row r="84" spans="1:59" ht="23.25" thickBot="1" x14ac:dyDescent="0.25">
      <c r="A84" s="575"/>
      <c r="B84" s="548" t="s">
        <v>835</v>
      </c>
      <c r="C84" s="1000"/>
      <c r="D84" s="539" t="s">
        <v>847</v>
      </c>
      <c r="E84" s="544" t="s">
        <v>854</v>
      </c>
      <c r="F84" s="283" t="s">
        <v>875</v>
      </c>
      <c r="G84" s="283"/>
      <c r="H84" s="284" t="s">
        <v>877</v>
      </c>
      <c r="I84" s="858">
        <v>3</v>
      </c>
      <c r="J84" s="460"/>
      <c r="K84" s="460"/>
      <c r="L84" s="460"/>
      <c r="M84" s="460"/>
      <c r="N84" s="460"/>
      <c r="O84" s="460"/>
      <c r="P84" s="460"/>
      <c r="Q84" s="460"/>
      <c r="R84" s="460"/>
      <c r="S84" s="460"/>
      <c r="T84" s="460"/>
      <c r="U84" s="460"/>
      <c r="V84" s="460"/>
      <c r="W84" s="460"/>
      <c r="X84" s="460"/>
      <c r="Y84" s="460"/>
      <c r="Z84" s="460"/>
      <c r="AA84" s="460"/>
      <c r="AB84" s="460"/>
      <c r="AC84" s="271">
        <v>0.78900000000000003</v>
      </c>
      <c r="AD84" s="614" t="s">
        <v>17</v>
      </c>
      <c r="AE84" s="135">
        <f>'Ribassi PE'!$K$22</f>
        <v>0.56999999999999995</v>
      </c>
      <c r="AF84" s="272">
        <f t="shared" ref="AF84:AF94" si="62">ROUND(AC84*(1-AE84),3)</f>
        <v>0.33900000000000002</v>
      </c>
      <c r="AG84" s="135">
        <f>'Ribassi PE'!$M$22</f>
        <v>0.2293</v>
      </c>
      <c r="AH84" s="272">
        <f t="shared" ref="AH84:AH94" si="63">ROUND(AC84*(1-AG84),3)</f>
        <v>0.60799999999999998</v>
      </c>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6"/>
      <c r="BF84" s="576"/>
      <c r="BG84" s="577"/>
    </row>
    <row r="85" spans="1:59" ht="12" thickBot="1" x14ac:dyDescent="0.25">
      <c r="A85" s="575"/>
      <c r="B85" s="540" t="s">
        <v>836</v>
      </c>
      <c r="C85" s="998" t="s">
        <v>789</v>
      </c>
      <c r="D85" s="986" t="s">
        <v>845</v>
      </c>
      <c r="E85" s="542" t="s">
        <v>851</v>
      </c>
      <c r="F85" s="279" t="s">
        <v>875</v>
      </c>
      <c r="G85" s="279"/>
      <c r="H85" s="280" t="s">
        <v>876</v>
      </c>
      <c r="I85" s="849"/>
      <c r="J85" s="454"/>
      <c r="K85" s="454"/>
      <c r="L85" s="454"/>
      <c r="M85" s="454"/>
      <c r="N85" s="454"/>
      <c r="O85" s="454"/>
      <c r="P85" s="454"/>
      <c r="Q85" s="454"/>
      <c r="R85" s="454"/>
      <c r="S85" s="454"/>
      <c r="T85" s="454"/>
      <c r="U85" s="454"/>
      <c r="V85" s="454"/>
      <c r="W85" s="454"/>
      <c r="X85" s="454"/>
      <c r="Y85" s="454"/>
      <c r="Z85" s="454"/>
      <c r="AA85" s="454"/>
      <c r="AB85" s="454"/>
      <c r="AC85" s="248">
        <v>7.9000000000000001E-2</v>
      </c>
      <c r="AD85" s="613" t="s">
        <v>17</v>
      </c>
      <c r="AE85" s="249">
        <f>'Ribassi PE'!$K$23</f>
        <v>0.56999999999999995</v>
      </c>
      <c r="AF85" s="250">
        <f t="shared" si="62"/>
        <v>3.4000000000000002E-2</v>
      </c>
      <c r="AG85" s="249">
        <f>'Ribassi PE'!$M$23</f>
        <v>0.2293</v>
      </c>
      <c r="AH85" s="250">
        <f t="shared" si="63"/>
        <v>6.0999999999999999E-2</v>
      </c>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6"/>
      <c r="BF85" s="576"/>
      <c r="BG85" s="577"/>
    </row>
    <row r="86" spans="1:59" ht="12" thickBot="1" x14ac:dyDescent="0.25">
      <c r="A86" s="575"/>
      <c r="B86" s="548" t="s">
        <v>837</v>
      </c>
      <c r="C86" s="1000"/>
      <c r="D86" s="989"/>
      <c r="E86" s="544" t="s">
        <v>852</v>
      </c>
      <c r="F86" s="283" t="s">
        <v>875</v>
      </c>
      <c r="G86" s="283"/>
      <c r="H86" s="284" t="s">
        <v>876</v>
      </c>
      <c r="I86" s="851"/>
      <c r="J86" s="456"/>
      <c r="K86" s="456"/>
      <c r="L86" s="456"/>
      <c r="M86" s="456"/>
      <c r="N86" s="456"/>
      <c r="O86" s="456"/>
      <c r="P86" s="456"/>
      <c r="Q86" s="456"/>
      <c r="R86" s="456"/>
      <c r="S86" s="456"/>
      <c r="T86" s="456"/>
      <c r="U86" s="456"/>
      <c r="V86" s="456"/>
      <c r="W86" s="456"/>
      <c r="X86" s="456"/>
      <c r="Y86" s="456"/>
      <c r="Z86" s="456"/>
      <c r="AA86" s="456"/>
      <c r="AB86" s="456"/>
      <c r="AC86" s="137">
        <v>0.23599999999999999</v>
      </c>
      <c r="AD86" s="615" t="s">
        <v>17</v>
      </c>
      <c r="AE86" s="273">
        <f>'Ribassi PE'!$K$23</f>
        <v>0.56999999999999995</v>
      </c>
      <c r="AF86" s="274">
        <f t="shared" si="62"/>
        <v>0.10100000000000001</v>
      </c>
      <c r="AG86" s="273">
        <f>'Ribassi PE'!$M$23</f>
        <v>0.2293</v>
      </c>
      <c r="AH86" s="274">
        <f t="shared" si="63"/>
        <v>0.182</v>
      </c>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6"/>
      <c r="BF86" s="576"/>
      <c r="BG86" s="577"/>
    </row>
    <row r="87" spans="1:59" ht="23.25" thickBot="1" x14ac:dyDescent="0.25">
      <c r="A87" s="575"/>
      <c r="B87" s="978" t="s">
        <v>838</v>
      </c>
      <c r="C87" s="998" t="s">
        <v>790</v>
      </c>
      <c r="D87" s="986" t="s">
        <v>845</v>
      </c>
      <c r="E87" s="981" t="s">
        <v>851</v>
      </c>
      <c r="F87" s="279" t="s">
        <v>869</v>
      </c>
      <c r="G87" s="279" t="s">
        <v>1194</v>
      </c>
      <c r="H87" s="280" t="s">
        <v>876</v>
      </c>
      <c r="I87" s="859">
        <v>248</v>
      </c>
      <c r="J87" s="461"/>
      <c r="K87" s="461"/>
      <c r="L87" s="461"/>
      <c r="M87" s="461"/>
      <c r="N87" s="461"/>
      <c r="O87" s="461"/>
      <c r="P87" s="461"/>
      <c r="Q87" s="461"/>
      <c r="R87" s="461"/>
      <c r="S87" s="461"/>
      <c r="T87" s="461"/>
      <c r="U87" s="461"/>
      <c r="V87" s="461"/>
      <c r="W87" s="461"/>
      <c r="X87" s="461"/>
      <c r="Y87" s="461"/>
      <c r="Z87" s="461"/>
      <c r="AA87" s="461"/>
      <c r="AB87" s="461"/>
      <c r="AC87" s="265">
        <v>0.38400000000000001</v>
      </c>
      <c r="AD87" s="614" t="s">
        <v>17</v>
      </c>
      <c r="AE87" s="212">
        <f>'Ribassi PE'!$K$24</f>
        <v>0.56999999999999995</v>
      </c>
      <c r="AF87" s="275">
        <f t="shared" si="62"/>
        <v>0.16500000000000001</v>
      </c>
      <c r="AG87" s="212">
        <f>'Ribassi PE'!$M$24</f>
        <v>0.2293</v>
      </c>
      <c r="AH87" s="275">
        <f t="shared" si="63"/>
        <v>0.29599999999999999</v>
      </c>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6"/>
      <c r="BF87" s="576"/>
      <c r="BG87" s="577"/>
    </row>
    <row r="88" spans="1:59" ht="23.25" thickBot="1" x14ac:dyDescent="0.25">
      <c r="A88" s="575"/>
      <c r="B88" s="979"/>
      <c r="C88" s="1001"/>
      <c r="D88" s="987"/>
      <c r="E88" s="982"/>
      <c r="F88" s="287" t="s">
        <v>869</v>
      </c>
      <c r="G88" s="287" t="s">
        <v>1195</v>
      </c>
      <c r="H88" s="288" t="s">
        <v>876</v>
      </c>
      <c r="I88" s="859"/>
      <c r="J88" s="461"/>
      <c r="K88" s="461"/>
      <c r="L88" s="461"/>
      <c r="M88" s="461"/>
      <c r="N88" s="461"/>
      <c r="O88" s="461"/>
      <c r="P88" s="461"/>
      <c r="Q88" s="461"/>
      <c r="R88" s="461"/>
      <c r="S88" s="461"/>
      <c r="T88" s="461"/>
      <c r="U88" s="461"/>
      <c r="V88" s="461"/>
      <c r="W88" s="461"/>
      <c r="X88" s="461"/>
      <c r="Y88" s="461"/>
      <c r="Z88" s="461"/>
      <c r="AA88" s="461"/>
      <c r="AB88" s="461"/>
      <c r="AC88" s="134">
        <f>1.2*0.384</f>
        <v>0.46079999999999999</v>
      </c>
      <c r="AD88" s="614" t="s">
        <v>17</v>
      </c>
      <c r="AE88" s="135">
        <f>'Ribassi PE'!$K$24</f>
        <v>0.56999999999999995</v>
      </c>
      <c r="AF88" s="136">
        <f t="shared" ref="AF88:AF89" si="64">ROUND(AC88*(1-AE88),3)</f>
        <v>0.19800000000000001</v>
      </c>
      <c r="AG88" s="135">
        <f>'Ribassi PE'!$M$24</f>
        <v>0.2293</v>
      </c>
      <c r="AH88" s="136">
        <f t="shared" ref="AH88:AH89" si="65">ROUND(AC88*(1-AG88),3)</f>
        <v>0.35499999999999998</v>
      </c>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6"/>
      <c r="BF88" s="576"/>
      <c r="BG88" s="577"/>
    </row>
    <row r="89" spans="1:59" ht="23.25" thickBot="1" x14ac:dyDescent="0.25">
      <c r="A89" s="575"/>
      <c r="B89" s="980"/>
      <c r="C89" s="1001"/>
      <c r="D89" s="987"/>
      <c r="E89" s="983"/>
      <c r="F89" s="287" t="s">
        <v>869</v>
      </c>
      <c r="G89" s="287" t="s">
        <v>1196</v>
      </c>
      <c r="H89" s="288" t="s">
        <v>876</v>
      </c>
      <c r="I89" s="859"/>
      <c r="J89" s="461"/>
      <c r="K89" s="461"/>
      <c r="L89" s="461"/>
      <c r="M89" s="461"/>
      <c r="N89" s="461"/>
      <c r="O89" s="461"/>
      <c r="P89" s="461"/>
      <c r="Q89" s="461"/>
      <c r="R89" s="461"/>
      <c r="S89" s="461"/>
      <c r="T89" s="461"/>
      <c r="U89" s="461"/>
      <c r="V89" s="461"/>
      <c r="W89" s="461"/>
      <c r="X89" s="461"/>
      <c r="Y89" s="461"/>
      <c r="Z89" s="461"/>
      <c r="AA89" s="461"/>
      <c r="AB89" s="461"/>
      <c r="AC89" s="134">
        <f>1.4*0.384</f>
        <v>0.53759999999999997</v>
      </c>
      <c r="AD89" s="614" t="s">
        <v>17</v>
      </c>
      <c r="AE89" s="135">
        <f>'Ribassi PE'!$K$24</f>
        <v>0.56999999999999995</v>
      </c>
      <c r="AF89" s="136">
        <f t="shared" si="64"/>
        <v>0.23100000000000001</v>
      </c>
      <c r="AG89" s="135">
        <f>'Ribassi PE'!$M$24</f>
        <v>0.2293</v>
      </c>
      <c r="AH89" s="136">
        <f t="shared" si="65"/>
        <v>0.41399999999999998</v>
      </c>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6"/>
      <c r="BF89" s="576"/>
      <c r="BG89" s="577"/>
    </row>
    <row r="90" spans="1:59" ht="10.5" customHeight="1" thickBot="1" x14ac:dyDescent="0.25">
      <c r="A90" s="575"/>
      <c r="B90" s="541" t="s">
        <v>839</v>
      </c>
      <c r="C90" s="999"/>
      <c r="D90" s="988"/>
      <c r="E90" s="543" t="s">
        <v>852</v>
      </c>
      <c r="F90" s="281" t="s">
        <v>873</v>
      </c>
      <c r="G90" s="281"/>
      <c r="H90" s="282" t="s">
        <v>876</v>
      </c>
      <c r="I90" s="850">
        <v>248</v>
      </c>
      <c r="J90" s="455"/>
      <c r="K90" s="455"/>
      <c r="L90" s="455"/>
      <c r="M90" s="455"/>
      <c r="N90" s="455"/>
      <c r="O90" s="455"/>
      <c r="P90" s="455"/>
      <c r="Q90" s="455"/>
      <c r="R90" s="455"/>
      <c r="S90" s="455"/>
      <c r="T90" s="455"/>
      <c r="U90" s="455"/>
      <c r="V90" s="455"/>
      <c r="W90" s="455"/>
      <c r="X90" s="455"/>
      <c r="Y90" s="455"/>
      <c r="Z90" s="455"/>
      <c r="AA90" s="455"/>
      <c r="AB90" s="455"/>
      <c r="AC90" s="134">
        <v>0.47399999999999998</v>
      </c>
      <c r="AD90" s="614" t="s">
        <v>17</v>
      </c>
      <c r="AE90" s="135">
        <f>'Ribassi PE'!$K$24</f>
        <v>0.56999999999999995</v>
      </c>
      <c r="AF90" s="136">
        <f t="shared" si="62"/>
        <v>0.20399999999999999</v>
      </c>
      <c r="AG90" s="135">
        <f>'Ribassi PE'!$M$24</f>
        <v>0.2293</v>
      </c>
      <c r="AH90" s="136">
        <f t="shared" si="63"/>
        <v>0.36499999999999999</v>
      </c>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6"/>
      <c r="BE90" s="576"/>
      <c r="BF90" s="576"/>
      <c r="BG90" s="577"/>
    </row>
    <row r="91" spans="1:59" ht="23.25" thickBot="1" x14ac:dyDescent="0.25">
      <c r="A91" s="575"/>
      <c r="B91" s="541" t="s">
        <v>840</v>
      </c>
      <c r="C91" s="999"/>
      <c r="D91" s="988" t="s">
        <v>846</v>
      </c>
      <c r="E91" s="543" t="s">
        <v>861</v>
      </c>
      <c r="F91" s="281" t="s">
        <v>873</v>
      </c>
      <c r="G91" s="281"/>
      <c r="H91" s="282" t="s">
        <v>877</v>
      </c>
      <c r="I91" s="850">
        <v>8</v>
      </c>
      <c r="J91" s="455"/>
      <c r="K91" s="455"/>
      <c r="L91" s="455"/>
      <c r="M91" s="455"/>
      <c r="N91" s="455"/>
      <c r="O91" s="455"/>
      <c r="P91" s="455"/>
      <c r="Q91" s="455"/>
      <c r="R91" s="455"/>
      <c r="S91" s="455"/>
      <c r="T91" s="455"/>
      <c r="U91" s="455"/>
      <c r="V91" s="455"/>
      <c r="W91" s="455"/>
      <c r="X91" s="455"/>
      <c r="Y91" s="455"/>
      <c r="Z91" s="455"/>
      <c r="AA91" s="455"/>
      <c r="AB91" s="455"/>
      <c r="AC91" s="164">
        <v>3.1549999999999998</v>
      </c>
      <c r="AD91" s="614" t="s">
        <v>17</v>
      </c>
      <c r="AE91" s="165">
        <f>'Ribassi PE'!$K$24</f>
        <v>0.56999999999999995</v>
      </c>
      <c r="AF91" s="166">
        <f t="shared" si="62"/>
        <v>1.357</v>
      </c>
      <c r="AG91" s="165">
        <f>'Ribassi PE'!$M$24</f>
        <v>0.2293</v>
      </c>
      <c r="AH91" s="166">
        <f t="shared" si="63"/>
        <v>2.4319999999999999</v>
      </c>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6"/>
      <c r="BE91" s="576"/>
      <c r="BF91" s="576"/>
      <c r="BG91" s="577"/>
    </row>
    <row r="92" spans="1:59" ht="23.25" thickBot="1" x14ac:dyDescent="0.25">
      <c r="A92" s="575"/>
      <c r="B92" s="541" t="s">
        <v>841</v>
      </c>
      <c r="C92" s="999"/>
      <c r="D92" s="988"/>
      <c r="E92" s="543" t="s">
        <v>862</v>
      </c>
      <c r="F92" s="281" t="s">
        <v>873</v>
      </c>
      <c r="G92" s="281"/>
      <c r="H92" s="282" t="s">
        <v>877</v>
      </c>
      <c r="I92" s="850">
        <v>8</v>
      </c>
      <c r="J92" s="455"/>
      <c r="K92" s="455"/>
      <c r="L92" s="455"/>
      <c r="M92" s="455"/>
      <c r="N92" s="455"/>
      <c r="O92" s="455"/>
      <c r="P92" s="455"/>
      <c r="Q92" s="455"/>
      <c r="R92" s="455"/>
      <c r="S92" s="455"/>
      <c r="T92" s="455"/>
      <c r="U92" s="455"/>
      <c r="V92" s="455"/>
      <c r="W92" s="455"/>
      <c r="X92" s="455"/>
      <c r="Y92" s="455"/>
      <c r="Z92" s="455"/>
      <c r="AA92" s="455"/>
      <c r="AB92" s="455"/>
      <c r="AC92" s="164">
        <v>1.5780000000000001</v>
      </c>
      <c r="AD92" s="614" t="s">
        <v>17</v>
      </c>
      <c r="AE92" s="165">
        <f>'Ribassi PE'!$K$24</f>
        <v>0.56999999999999995</v>
      </c>
      <c r="AF92" s="166">
        <f t="shared" si="62"/>
        <v>0.67900000000000005</v>
      </c>
      <c r="AG92" s="165">
        <f>'Ribassi PE'!$M$24</f>
        <v>0.2293</v>
      </c>
      <c r="AH92" s="166">
        <f t="shared" si="63"/>
        <v>1.216</v>
      </c>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6"/>
      <c r="BE92" s="576"/>
      <c r="BF92" s="576"/>
      <c r="BG92" s="577"/>
    </row>
    <row r="93" spans="1:59" ht="45.75" thickBot="1" x14ac:dyDescent="0.25">
      <c r="A93" s="575"/>
      <c r="B93" s="541" t="s">
        <v>842</v>
      </c>
      <c r="C93" s="999"/>
      <c r="D93" s="988"/>
      <c r="E93" s="543" t="s">
        <v>867</v>
      </c>
      <c r="F93" s="281" t="s">
        <v>873</v>
      </c>
      <c r="G93" s="281"/>
      <c r="H93" s="282" t="s">
        <v>877</v>
      </c>
      <c r="I93" s="850">
        <v>8</v>
      </c>
      <c r="J93" s="455"/>
      <c r="K93" s="455"/>
      <c r="L93" s="455"/>
      <c r="M93" s="455"/>
      <c r="N93" s="455"/>
      <c r="O93" s="455"/>
      <c r="P93" s="455"/>
      <c r="Q93" s="455"/>
      <c r="R93" s="455"/>
      <c r="S93" s="455"/>
      <c r="T93" s="455"/>
      <c r="U93" s="455"/>
      <c r="V93" s="455"/>
      <c r="W93" s="455"/>
      <c r="X93" s="455"/>
      <c r="Y93" s="455"/>
      <c r="Z93" s="455"/>
      <c r="AA93" s="455"/>
      <c r="AB93" s="455"/>
      <c r="AC93" s="134">
        <v>1.893</v>
      </c>
      <c r="AD93" s="614" t="s">
        <v>17</v>
      </c>
      <c r="AE93" s="135">
        <f>'Ribassi PE'!$K$24</f>
        <v>0.56999999999999995</v>
      </c>
      <c r="AF93" s="136">
        <f t="shared" si="62"/>
        <v>0.81399999999999995</v>
      </c>
      <c r="AG93" s="135">
        <f>'Ribassi PE'!$M$24</f>
        <v>0.2293</v>
      </c>
      <c r="AH93" s="136">
        <f t="shared" si="63"/>
        <v>1.4590000000000001</v>
      </c>
      <c r="AI93" s="576"/>
      <c r="AJ93" s="576"/>
      <c r="AK93" s="576"/>
      <c r="AL93" s="576"/>
      <c r="AM93" s="576"/>
      <c r="AN93" s="576"/>
      <c r="AO93" s="576"/>
      <c r="AP93" s="576"/>
      <c r="AQ93" s="576"/>
      <c r="AR93" s="576"/>
      <c r="AS93" s="576"/>
      <c r="AT93" s="576"/>
      <c r="AU93" s="576"/>
      <c r="AV93" s="576"/>
      <c r="AW93" s="576"/>
      <c r="AX93" s="576"/>
      <c r="AY93" s="576"/>
      <c r="AZ93" s="576"/>
      <c r="BA93" s="576"/>
      <c r="BB93" s="576"/>
      <c r="BC93" s="576"/>
      <c r="BD93" s="576"/>
      <c r="BE93" s="576"/>
      <c r="BF93" s="576"/>
      <c r="BG93" s="577"/>
    </row>
    <row r="94" spans="1:59" ht="23.25" thickBot="1" x14ac:dyDescent="0.25">
      <c r="A94" s="575"/>
      <c r="B94" s="548" t="s">
        <v>843</v>
      </c>
      <c r="C94" s="1000"/>
      <c r="D94" s="539" t="s">
        <v>847</v>
      </c>
      <c r="E94" s="544" t="s">
        <v>854</v>
      </c>
      <c r="F94" s="283" t="s">
        <v>871</v>
      </c>
      <c r="G94" s="283"/>
      <c r="H94" s="284" t="s">
        <v>877</v>
      </c>
      <c r="I94" s="858">
        <v>5</v>
      </c>
      <c r="J94" s="460"/>
      <c r="K94" s="460"/>
      <c r="L94" s="460"/>
      <c r="M94" s="460"/>
      <c r="N94" s="460"/>
      <c r="O94" s="460"/>
      <c r="P94" s="460"/>
      <c r="Q94" s="460"/>
      <c r="R94" s="460"/>
      <c r="S94" s="460"/>
      <c r="T94" s="460"/>
      <c r="U94" s="460"/>
      <c r="V94" s="460"/>
      <c r="W94" s="460"/>
      <c r="X94" s="460"/>
      <c r="Y94" s="460"/>
      <c r="Z94" s="460"/>
      <c r="AA94" s="460"/>
      <c r="AB94" s="460"/>
      <c r="AC94" s="271">
        <v>0.182</v>
      </c>
      <c r="AD94" s="614" t="s">
        <v>17</v>
      </c>
      <c r="AE94" s="135">
        <f>'Ribassi PE'!$K$24</f>
        <v>0.56999999999999995</v>
      </c>
      <c r="AF94" s="272">
        <f t="shared" si="62"/>
        <v>7.8E-2</v>
      </c>
      <c r="AG94" s="135">
        <f>'Ribassi PE'!$M$24</f>
        <v>0.2293</v>
      </c>
      <c r="AH94" s="272">
        <f t="shared" si="63"/>
        <v>0.14000000000000001</v>
      </c>
      <c r="AI94" s="576"/>
      <c r="AJ94" s="576"/>
      <c r="AK94" s="576"/>
      <c r="AL94" s="576"/>
      <c r="AM94" s="576"/>
      <c r="AN94" s="576"/>
      <c r="AO94" s="576"/>
      <c r="AP94" s="576"/>
      <c r="AQ94" s="576"/>
      <c r="AR94" s="576"/>
      <c r="AS94" s="576"/>
      <c r="AT94" s="576"/>
      <c r="AU94" s="576"/>
      <c r="AV94" s="576"/>
      <c r="AW94" s="576"/>
      <c r="AX94" s="576"/>
      <c r="AY94" s="576"/>
      <c r="AZ94" s="576"/>
      <c r="BA94" s="576"/>
      <c r="BB94" s="576"/>
      <c r="BC94" s="576"/>
      <c r="BD94" s="576"/>
      <c r="BE94" s="576"/>
      <c r="BF94" s="576"/>
      <c r="BG94" s="577"/>
    </row>
    <row r="95" spans="1:59" ht="20.100000000000001" customHeight="1" thickBot="1" x14ac:dyDescent="0.25">
      <c r="A95" s="578"/>
      <c r="B95" s="257" t="s">
        <v>844</v>
      </c>
      <c r="C95" s="258" t="s">
        <v>791</v>
      </c>
      <c r="D95" s="259" t="s">
        <v>845</v>
      </c>
      <c r="E95" s="260" t="s">
        <v>868</v>
      </c>
      <c r="F95" s="261" t="s">
        <v>875</v>
      </c>
      <c r="G95" s="261"/>
      <c r="H95" s="262" t="s">
        <v>876</v>
      </c>
      <c r="I95" s="860">
        <v>2542</v>
      </c>
      <c r="J95" s="468"/>
      <c r="K95" s="468"/>
      <c r="L95" s="468"/>
      <c r="M95" s="468"/>
      <c r="N95" s="468"/>
      <c r="O95" s="468"/>
      <c r="P95" s="468"/>
      <c r="Q95" s="468"/>
      <c r="R95" s="468"/>
      <c r="S95" s="468"/>
      <c r="T95" s="468"/>
      <c r="U95" s="468"/>
      <c r="V95" s="468"/>
      <c r="W95" s="468"/>
      <c r="X95" s="468"/>
      <c r="Y95" s="468"/>
      <c r="Z95" s="468"/>
      <c r="AA95" s="468"/>
      <c r="AB95" s="468"/>
      <c r="AC95" s="276">
        <v>0.158</v>
      </c>
      <c r="AD95" s="616" t="s">
        <v>18</v>
      </c>
      <c r="AE95" s="277">
        <f>'Ribassi PE'!$K$25</f>
        <v>7.0000000000000007E-2</v>
      </c>
      <c r="AF95" s="278">
        <f t="shared" si="0"/>
        <v>0.14699999999999999</v>
      </c>
      <c r="AG95" s="277">
        <f>'Ribassi PE'!$M$25</f>
        <v>0.62529999999999997</v>
      </c>
      <c r="AH95" s="278">
        <f t="shared" si="1"/>
        <v>5.8999999999999997E-2</v>
      </c>
      <c r="AI95" s="576"/>
      <c r="AJ95" s="576"/>
      <c r="AK95" s="576"/>
      <c r="AL95" s="576"/>
      <c r="AM95" s="576"/>
      <c r="AN95" s="576"/>
      <c r="AO95" s="576"/>
      <c r="AP95" s="576"/>
      <c r="AQ95" s="576"/>
      <c r="AR95" s="576"/>
      <c r="AS95" s="576"/>
      <c r="AT95" s="576"/>
      <c r="AU95" s="576"/>
      <c r="AV95" s="576"/>
      <c r="AW95" s="576"/>
      <c r="AX95" s="576"/>
      <c r="AY95" s="576"/>
      <c r="AZ95" s="576"/>
      <c r="BA95" s="576"/>
      <c r="BB95" s="576"/>
      <c r="BC95" s="576"/>
      <c r="BD95" s="576"/>
      <c r="BE95" s="576"/>
      <c r="BF95" s="576"/>
      <c r="BG95" s="577"/>
    </row>
    <row r="96" spans="1:59" s="99" customFormat="1" ht="12.75" thickBot="1" x14ac:dyDescent="0.25">
      <c r="A96" s="98"/>
      <c r="B96" s="98"/>
      <c r="C96" s="98"/>
      <c r="D96" s="98"/>
      <c r="E96" s="98"/>
      <c r="F96" s="106"/>
      <c r="G96" s="106"/>
      <c r="H96" s="125" t="s">
        <v>329</v>
      </c>
      <c r="I96" s="126">
        <f t="shared" ref="I96:AB96" si="66">SUMPRODUCT(I7:I95,$AC$7:$AC$95)*I$4</f>
        <v>2080625.7600000005</v>
      </c>
      <c r="J96" s="126">
        <f t="shared" si="66"/>
        <v>0</v>
      </c>
      <c r="K96" s="126">
        <f t="shared" si="66"/>
        <v>0</v>
      </c>
      <c r="L96" s="126">
        <f t="shared" si="66"/>
        <v>0</v>
      </c>
      <c r="M96" s="126">
        <f t="shared" si="66"/>
        <v>0</v>
      </c>
      <c r="N96" s="126">
        <f t="shared" si="66"/>
        <v>0</v>
      </c>
      <c r="O96" s="126">
        <f t="shared" si="66"/>
        <v>0</v>
      </c>
      <c r="P96" s="126">
        <f t="shared" si="66"/>
        <v>0</v>
      </c>
      <c r="Q96" s="126">
        <f t="shared" si="66"/>
        <v>0</v>
      </c>
      <c r="R96" s="126">
        <f t="shared" si="66"/>
        <v>0</v>
      </c>
      <c r="S96" s="126">
        <f t="shared" si="66"/>
        <v>0</v>
      </c>
      <c r="T96" s="126">
        <f t="shared" si="66"/>
        <v>0</v>
      </c>
      <c r="U96" s="126">
        <f t="shared" si="66"/>
        <v>0</v>
      </c>
      <c r="V96" s="126">
        <f t="shared" si="66"/>
        <v>0</v>
      </c>
      <c r="W96" s="126">
        <f t="shared" si="66"/>
        <v>0</v>
      </c>
      <c r="X96" s="126">
        <f t="shared" si="66"/>
        <v>0</v>
      </c>
      <c r="Y96" s="126">
        <f t="shared" si="66"/>
        <v>0</v>
      </c>
      <c r="Z96" s="126">
        <f t="shared" si="66"/>
        <v>0</v>
      </c>
      <c r="AA96" s="126">
        <f t="shared" si="66"/>
        <v>0</v>
      </c>
      <c r="AB96" s="126">
        <f t="shared" si="66"/>
        <v>0</v>
      </c>
      <c r="AC96" s="97"/>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6"/>
    </row>
    <row r="97" spans="1:59" s="99" customFormat="1" ht="12.75" thickBot="1" x14ac:dyDescent="0.25">
      <c r="A97" s="98"/>
      <c r="B97" s="98"/>
      <c r="C97" s="98"/>
      <c r="D97" s="98"/>
      <c r="E97" s="98"/>
      <c r="F97" s="106"/>
      <c r="G97" s="106"/>
      <c r="H97" s="581" t="s">
        <v>330</v>
      </c>
      <c r="I97" s="201">
        <f t="shared" ref="I97:AB97" si="67">SUMPRODUCT(I7:I95,$AF$7:$AF$95)*I$4</f>
        <v>1233542.8799999997</v>
      </c>
      <c r="J97" s="201">
        <f t="shared" si="67"/>
        <v>0</v>
      </c>
      <c r="K97" s="201">
        <f t="shared" si="67"/>
        <v>0</v>
      </c>
      <c r="L97" s="201">
        <f t="shared" si="67"/>
        <v>0</v>
      </c>
      <c r="M97" s="201">
        <f t="shared" si="67"/>
        <v>0</v>
      </c>
      <c r="N97" s="201">
        <f t="shared" si="67"/>
        <v>0</v>
      </c>
      <c r="O97" s="201">
        <f t="shared" si="67"/>
        <v>0</v>
      </c>
      <c r="P97" s="201">
        <f t="shared" si="67"/>
        <v>0</v>
      </c>
      <c r="Q97" s="201">
        <f t="shared" si="67"/>
        <v>0</v>
      </c>
      <c r="R97" s="201">
        <f t="shared" si="67"/>
        <v>0</v>
      </c>
      <c r="S97" s="201">
        <f t="shared" si="67"/>
        <v>0</v>
      </c>
      <c r="T97" s="201">
        <f t="shared" si="67"/>
        <v>0</v>
      </c>
      <c r="U97" s="201">
        <f t="shared" si="67"/>
        <v>0</v>
      </c>
      <c r="V97" s="201">
        <f t="shared" si="67"/>
        <v>0</v>
      </c>
      <c r="W97" s="201">
        <f t="shared" si="67"/>
        <v>0</v>
      </c>
      <c r="X97" s="201">
        <f t="shared" si="67"/>
        <v>0</v>
      </c>
      <c r="Y97" s="201">
        <f t="shared" si="67"/>
        <v>0</v>
      </c>
      <c r="Z97" s="201">
        <f t="shared" si="67"/>
        <v>0</v>
      </c>
      <c r="AA97" s="201">
        <f t="shared" si="67"/>
        <v>0</v>
      </c>
      <c r="AB97" s="201">
        <f t="shared" si="67"/>
        <v>0</v>
      </c>
      <c r="AC97" s="97"/>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6"/>
    </row>
    <row r="98" spans="1:59" s="99" customFormat="1" ht="12.75" thickBot="1" x14ac:dyDescent="0.25">
      <c r="A98" s="98"/>
      <c r="B98" s="98"/>
      <c r="C98" s="98"/>
      <c r="D98" s="98"/>
      <c r="E98" s="98"/>
      <c r="F98" s="106"/>
      <c r="G98" s="106"/>
      <c r="H98" s="581" t="s">
        <v>331</v>
      </c>
      <c r="I98" s="201">
        <f t="shared" ref="I98:AB98" si="68">SUMPRODUCT(I7:I95,$AH$7:$AH$95)*I$4</f>
        <v>876135.69599999918</v>
      </c>
      <c r="J98" s="201">
        <f t="shared" si="68"/>
        <v>0</v>
      </c>
      <c r="K98" s="201">
        <f t="shared" si="68"/>
        <v>0</v>
      </c>
      <c r="L98" s="201">
        <f t="shared" si="68"/>
        <v>0</v>
      </c>
      <c r="M98" s="201">
        <f t="shared" si="68"/>
        <v>0</v>
      </c>
      <c r="N98" s="201">
        <f t="shared" si="68"/>
        <v>0</v>
      </c>
      <c r="O98" s="201">
        <f t="shared" si="68"/>
        <v>0</v>
      </c>
      <c r="P98" s="201">
        <f t="shared" si="68"/>
        <v>0</v>
      </c>
      <c r="Q98" s="201">
        <f t="shared" si="68"/>
        <v>0</v>
      </c>
      <c r="R98" s="201">
        <f t="shared" si="68"/>
        <v>0</v>
      </c>
      <c r="S98" s="201">
        <f t="shared" si="68"/>
        <v>0</v>
      </c>
      <c r="T98" s="201">
        <f t="shared" si="68"/>
        <v>0</v>
      </c>
      <c r="U98" s="201">
        <f t="shared" si="68"/>
        <v>0</v>
      </c>
      <c r="V98" s="201">
        <f t="shared" si="68"/>
        <v>0</v>
      </c>
      <c r="W98" s="201">
        <f t="shared" si="68"/>
        <v>0</v>
      </c>
      <c r="X98" s="201">
        <f t="shared" si="68"/>
        <v>0</v>
      </c>
      <c r="Y98" s="201">
        <f t="shared" si="68"/>
        <v>0</v>
      </c>
      <c r="Z98" s="201">
        <f t="shared" si="68"/>
        <v>0</v>
      </c>
      <c r="AA98" s="201">
        <f t="shared" si="68"/>
        <v>0</v>
      </c>
      <c r="AB98" s="201">
        <f t="shared" si="68"/>
        <v>0</v>
      </c>
      <c r="AC98" s="97"/>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6"/>
    </row>
    <row r="99" spans="1:59" x14ac:dyDescent="0.2">
      <c r="A99" s="576"/>
      <c r="B99" s="98"/>
      <c r="C99" s="98"/>
      <c r="D99" s="98"/>
      <c r="E99" s="98"/>
      <c r="F99" s="98"/>
      <c r="G99" s="98"/>
      <c r="H99" s="98"/>
      <c r="I99" s="576"/>
      <c r="J99" s="576"/>
      <c r="K99" s="576"/>
      <c r="L99" s="576"/>
      <c r="M99" s="576"/>
      <c r="N99" s="576"/>
      <c r="O99" s="576"/>
      <c r="P99" s="576"/>
      <c r="Q99" s="576"/>
      <c r="R99" s="576"/>
      <c r="S99" s="576"/>
      <c r="T99" s="576"/>
      <c r="U99" s="576"/>
      <c r="V99" s="576"/>
      <c r="W99" s="576"/>
      <c r="X99" s="576"/>
      <c r="Y99" s="576"/>
      <c r="Z99" s="576"/>
      <c r="AA99" s="576"/>
      <c r="AB99" s="576"/>
      <c r="AC99" s="98"/>
      <c r="AD99" s="98"/>
      <c r="AE99" s="98"/>
      <c r="AF99" s="98"/>
      <c r="AG99" s="98"/>
      <c r="AH99" s="98"/>
      <c r="AI99" s="576"/>
      <c r="AJ99" s="576"/>
      <c r="AK99" s="576"/>
      <c r="AL99" s="576"/>
      <c r="AM99" s="576"/>
      <c r="AN99" s="576"/>
      <c r="AO99" s="576"/>
      <c r="AP99" s="576"/>
      <c r="AQ99" s="576"/>
      <c r="AR99" s="576"/>
      <c r="AS99" s="576"/>
      <c r="AT99" s="576"/>
      <c r="AU99" s="576"/>
      <c r="AV99" s="576"/>
      <c r="AW99" s="576"/>
      <c r="AX99" s="576"/>
      <c r="AY99" s="576"/>
      <c r="AZ99" s="576"/>
      <c r="BA99" s="576"/>
      <c r="BB99" s="576"/>
      <c r="BC99" s="576"/>
      <c r="BD99" s="576"/>
      <c r="BE99" s="576"/>
      <c r="BF99" s="576"/>
      <c r="BG99" s="577"/>
    </row>
    <row r="100" spans="1:59" x14ac:dyDescent="0.2">
      <c r="A100" s="576"/>
      <c r="B100" s="98"/>
      <c r="C100" s="98"/>
      <c r="D100" s="98"/>
      <c r="E100" s="98"/>
      <c r="F100" s="98"/>
      <c r="G100" s="98"/>
      <c r="H100" s="98"/>
      <c r="I100" s="576"/>
      <c r="J100" s="576"/>
      <c r="K100" s="576"/>
      <c r="L100" s="576"/>
      <c r="M100" s="576"/>
      <c r="N100" s="576"/>
      <c r="O100" s="576"/>
      <c r="P100" s="576"/>
      <c r="Q100" s="576"/>
      <c r="R100" s="576"/>
      <c r="S100" s="576"/>
      <c r="T100" s="576"/>
      <c r="U100" s="576"/>
      <c r="V100" s="576"/>
      <c r="W100" s="576"/>
      <c r="X100" s="576"/>
      <c r="Y100" s="576"/>
      <c r="Z100" s="576"/>
      <c r="AA100" s="576"/>
      <c r="AB100" s="576"/>
      <c r="AC100" s="98"/>
      <c r="AD100" s="98"/>
      <c r="AE100" s="98"/>
      <c r="AF100" s="98"/>
      <c r="AG100" s="98"/>
      <c r="AH100" s="98"/>
      <c r="AI100" s="576"/>
      <c r="AJ100" s="576"/>
      <c r="AK100" s="576"/>
      <c r="AL100" s="576"/>
      <c r="AM100" s="576"/>
      <c r="AN100" s="576"/>
      <c r="AO100" s="576"/>
      <c r="AP100" s="576"/>
      <c r="AQ100" s="576"/>
      <c r="AR100" s="576"/>
      <c r="AS100" s="576"/>
      <c r="AT100" s="576"/>
      <c r="AU100" s="576"/>
      <c r="AV100" s="576"/>
      <c r="AW100" s="576"/>
      <c r="AX100" s="576"/>
      <c r="AY100" s="576"/>
      <c r="AZ100" s="576"/>
      <c r="BA100" s="576"/>
      <c r="BB100" s="576"/>
      <c r="BC100" s="576"/>
      <c r="BD100" s="576"/>
      <c r="BE100" s="576"/>
      <c r="BF100" s="576"/>
      <c r="BG100" s="577"/>
    </row>
    <row r="101" spans="1:59" x14ac:dyDescent="0.2">
      <c r="A101" s="576"/>
      <c r="B101" s="98"/>
      <c r="C101" s="98"/>
      <c r="D101" s="98"/>
      <c r="E101" s="98"/>
      <c r="F101" s="98"/>
      <c r="G101" s="98"/>
      <c r="H101" s="98"/>
      <c r="I101" s="576"/>
      <c r="J101" s="576"/>
      <c r="K101" s="576"/>
      <c r="L101" s="576"/>
      <c r="M101" s="576"/>
      <c r="N101" s="576"/>
      <c r="O101" s="576"/>
      <c r="P101" s="576"/>
      <c r="Q101" s="576"/>
      <c r="R101" s="576"/>
      <c r="S101" s="576"/>
      <c r="T101" s="576"/>
      <c r="U101" s="576"/>
      <c r="V101" s="576"/>
      <c r="W101" s="576"/>
      <c r="X101" s="576"/>
      <c r="Y101" s="576"/>
      <c r="Z101" s="576"/>
      <c r="AA101" s="576"/>
      <c r="AB101" s="576"/>
      <c r="AC101" s="98"/>
      <c r="AD101" s="98"/>
      <c r="AE101" s="98"/>
      <c r="AF101" s="98"/>
      <c r="AG101" s="98"/>
      <c r="AH101" s="98"/>
      <c r="AI101" s="576"/>
      <c r="AJ101" s="576"/>
      <c r="AK101" s="576"/>
      <c r="AL101" s="576"/>
      <c r="AM101" s="576"/>
      <c r="AN101" s="576"/>
      <c r="AO101" s="576"/>
      <c r="AP101" s="576"/>
      <c r="AQ101" s="576"/>
      <c r="AR101" s="576"/>
      <c r="AS101" s="576"/>
      <c r="AT101" s="576"/>
      <c r="AU101" s="576"/>
      <c r="AV101" s="576"/>
      <c r="AW101" s="576"/>
      <c r="AX101" s="576"/>
      <c r="AY101" s="576"/>
      <c r="AZ101" s="576"/>
      <c r="BA101" s="576"/>
      <c r="BB101" s="576"/>
      <c r="BC101" s="576"/>
      <c r="BD101" s="576"/>
      <c r="BE101" s="576"/>
      <c r="BF101" s="576"/>
      <c r="BG101" s="577"/>
    </row>
    <row r="102" spans="1:59" x14ac:dyDescent="0.2">
      <c r="A102" s="576"/>
      <c r="B102" s="98"/>
      <c r="C102" s="98"/>
      <c r="D102" s="98"/>
      <c r="E102" s="98"/>
      <c r="F102" s="98"/>
      <c r="G102" s="98"/>
      <c r="H102" s="98"/>
      <c r="I102" s="576"/>
      <c r="J102" s="576"/>
      <c r="K102" s="576"/>
      <c r="L102" s="576"/>
      <c r="M102" s="576"/>
      <c r="N102" s="576"/>
      <c r="O102" s="576"/>
      <c r="P102" s="576"/>
      <c r="Q102" s="576"/>
      <c r="R102" s="576"/>
      <c r="S102" s="576"/>
      <c r="T102" s="576"/>
      <c r="U102" s="576"/>
      <c r="V102" s="576"/>
      <c r="W102" s="576"/>
      <c r="X102" s="576"/>
      <c r="Y102" s="576"/>
      <c r="Z102" s="576"/>
      <c r="AA102" s="576"/>
      <c r="AB102" s="576"/>
      <c r="AC102" s="98"/>
      <c r="AD102" s="98"/>
      <c r="AE102" s="98"/>
      <c r="AF102" s="98"/>
      <c r="AG102" s="98"/>
      <c r="AH102" s="98"/>
      <c r="AI102" s="576"/>
      <c r="AJ102" s="576"/>
      <c r="AK102" s="576"/>
      <c r="AL102" s="576"/>
      <c r="AM102" s="576"/>
      <c r="AN102" s="576"/>
      <c r="AO102" s="576"/>
      <c r="AP102" s="576"/>
      <c r="AQ102" s="576"/>
      <c r="AR102" s="576"/>
      <c r="AS102" s="576"/>
      <c r="AT102" s="576"/>
      <c r="AU102" s="576"/>
      <c r="AV102" s="576"/>
      <c r="AW102" s="576"/>
      <c r="AX102" s="576"/>
      <c r="AY102" s="576"/>
      <c r="AZ102" s="576"/>
      <c r="BA102" s="576"/>
      <c r="BB102" s="576"/>
      <c r="BC102" s="576"/>
      <c r="BD102" s="576"/>
      <c r="BE102" s="576"/>
      <c r="BF102" s="576"/>
      <c r="BG102" s="577"/>
    </row>
    <row r="103" spans="1:59" x14ac:dyDescent="0.2">
      <c r="A103" s="576"/>
      <c r="B103" s="98"/>
      <c r="C103" s="98"/>
      <c r="D103" s="98"/>
      <c r="E103" s="98"/>
      <c r="F103" s="98"/>
      <c r="G103" s="98"/>
      <c r="H103" s="98"/>
      <c r="I103" s="576"/>
      <c r="J103" s="576"/>
      <c r="K103" s="576"/>
      <c r="L103" s="576"/>
      <c r="M103" s="576"/>
      <c r="N103" s="576"/>
      <c r="O103" s="576"/>
      <c r="P103" s="576"/>
      <c r="Q103" s="576"/>
      <c r="R103" s="576"/>
      <c r="S103" s="576"/>
      <c r="T103" s="576"/>
      <c r="U103" s="576"/>
      <c r="V103" s="576"/>
      <c r="W103" s="576"/>
      <c r="X103" s="576"/>
      <c r="Y103" s="576"/>
      <c r="Z103" s="576"/>
      <c r="AA103" s="576"/>
      <c r="AB103" s="576"/>
      <c r="AC103" s="98"/>
      <c r="AD103" s="98"/>
      <c r="AE103" s="98"/>
      <c r="AF103" s="98"/>
      <c r="AG103" s="98"/>
      <c r="AH103" s="98"/>
      <c r="AI103" s="576"/>
      <c r="AJ103" s="576"/>
      <c r="AK103" s="576"/>
      <c r="AL103" s="576"/>
      <c r="AM103" s="576"/>
      <c r="AN103" s="576"/>
      <c r="AO103" s="576"/>
      <c r="AP103" s="576"/>
      <c r="AQ103" s="576"/>
      <c r="AR103" s="576"/>
      <c r="AS103" s="576"/>
      <c r="AT103" s="576"/>
      <c r="AU103" s="576"/>
      <c r="AV103" s="576"/>
      <c r="AW103" s="576"/>
      <c r="AX103" s="576"/>
      <c r="AY103" s="576"/>
      <c r="AZ103" s="576"/>
      <c r="BA103" s="576"/>
      <c r="BB103" s="576"/>
      <c r="BC103" s="576"/>
      <c r="BD103" s="576"/>
      <c r="BE103" s="576"/>
      <c r="BF103" s="576"/>
      <c r="BG103" s="577"/>
    </row>
    <row r="104" spans="1:59" x14ac:dyDescent="0.2">
      <c r="A104" s="576"/>
      <c r="B104" s="98"/>
      <c r="C104" s="98"/>
      <c r="D104" s="98"/>
      <c r="E104" s="98"/>
      <c r="F104" s="98"/>
      <c r="G104" s="98"/>
      <c r="H104" s="98"/>
      <c r="I104" s="576"/>
      <c r="J104" s="576"/>
      <c r="K104" s="576"/>
      <c r="L104" s="576"/>
      <c r="M104" s="576"/>
      <c r="N104" s="576"/>
      <c r="O104" s="576"/>
      <c r="P104" s="576"/>
      <c r="Q104" s="576"/>
      <c r="R104" s="576"/>
      <c r="S104" s="576"/>
      <c r="T104" s="576"/>
      <c r="U104" s="576"/>
      <c r="V104" s="576"/>
      <c r="W104" s="576"/>
      <c r="X104" s="576"/>
      <c r="Y104" s="576"/>
      <c r="Z104" s="576"/>
      <c r="AA104" s="576"/>
      <c r="AB104" s="576"/>
      <c r="AC104" s="98"/>
      <c r="AD104" s="98"/>
      <c r="AE104" s="98"/>
      <c r="AF104" s="98"/>
      <c r="AG104" s="98"/>
      <c r="AH104" s="98"/>
      <c r="AI104" s="576"/>
      <c r="AJ104" s="576"/>
      <c r="AK104" s="576"/>
      <c r="AL104" s="576"/>
      <c r="AM104" s="576"/>
      <c r="AN104" s="576"/>
      <c r="AO104" s="576"/>
      <c r="AP104" s="576"/>
      <c r="AQ104" s="576"/>
      <c r="AR104" s="576"/>
      <c r="AS104" s="576"/>
      <c r="AT104" s="576"/>
      <c r="AU104" s="576"/>
      <c r="AV104" s="576"/>
      <c r="AW104" s="576"/>
      <c r="AX104" s="576"/>
      <c r="AY104" s="576"/>
      <c r="AZ104" s="576"/>
      <c r="BA104" s="576"/>
      <c r="BB104" s="576"/>
      <c r="BC104" s="576"/>
      <c r="BD104" s="576"/>
      <c r="BE104" s="576"/>
      <c r="BF104" s="576"/>
      <c r="BG104" s="577"/>
    </row>
    <row r="105" spans="1:59" x14ac:dyDescent="0.2">
      <c r="A105" s="576"/>
      <c r="B105" s="98"/>
      <c r="C105" s="98"/>
      <c r="D105" s="98"/>
      <c r="E105" s="98"/>
      <c r="F105" s="98"/>
      <c r="G105" s="98"/>
      <c r="H105" s="98"/>
      <c r="I105" s="576"/>
      <c r="J105" s="576"/>
      <c r="K105" s="576"/>
      <c r="L105" s="576"/>
      <c r="M105" s="576"/>
      <c r="N105" s="576"/>
      <c r="O105" s="576"/>
      <c r="P105" s="576"/>
      <c r="Q105" s="576"/>
      <c r="R105" s="576"/>
      <c r="S105" s="576"/>
      <c r="T105" s="576"/>
      <c r="U105" s="576"/>
      <c r="V105" s="576"/>
      <c r="W105" s="576"/>
      <c r="X105" s="576"/>
      <c r="Y105" s="576"/>
      <c r="Z105" s="576"/>
      <c r="AA105" s="576"/>
      <c r="AB105" s="576"/>
      <c r="AC105" s="98"/>
      <c r="AD105" s="98"/>
      <c r="AE105" s="98"/>
      <c r="AF105" s="98"/>
      <c r="AG105" s="98"/>
      <c r="AH105" s="98"/>
      <c r="AI105" s="576"/>
      <c r="AJ105" s="576"/>
      <c r="AK105" s="576"/>
      <c r="AL105" s="576"/>
      <c r="AM105" s="576"/>
      <c r="AN105" s="576"/>
      <c r="AO105" s="576"/>
      <c r="AP105" s="576"/>
      <c r="AQ105" s="576"/>
      <c r="AR105" s="576"/>
      <c r="AS105" s="576"/>
      <c r="AT105" s="576"/>
      <c r="AU105" s="576"/>
      <c r="AV105" s="576"/>
      <c r="AW105" s="576"/>
      <c r="AX105" s="576"/>
      <c r="AY105" s="576"/>
      <c r="AZ105" s="576"/>
      <c r="BA105" s="576"/>
      <c r="BB105" s="576"/>
      <c r="BC105" s="576"/>
      <c r="BD105" s="576"/>
      <c r="BE105" s="576"/>
      <c r="BF105" s="576"/>
      <c r="BG105" s="577"/>
    </row>
    <row r="106" spans="1:59" x14ac:dyDescent="0.2">
      <c r="A106" s="576"/>
      <c r="B106" s="98"/>
      <c r="C106" s="98"/>
      <c r="D106" s="98"/>
      <c r="E106" s="98"/>
      <c r="F106" s="98"/>
      <c r="G106" s="98"/>
      <c r="H106" s="98"/>
      <c r="I106" s="576"/>
      <c r="J106" s="576"/>
      <c r="K106" s="576"/>
      <c r="L106" s="576"/>
      <c r="M106" s="576"/>
      <c r="N106" s="576"/>
      <c r="O106" s="576"/>
      <c r="P106" s="576"/>
      <c r="Q106" s="576"/>
      <c r="R106" s="576"/>
      <c r="S106" s="576"/>
      <c r="T106" s="576"/>
      <c r="U106" s="576"/>
      <c r="V106" s="576"/>
      <c r="W106" s="576"/>
      <c r="X106" s="576"/>
      <c r="Y106" s="576"/>
      <c r="Z106" s="576"/>
      <c r="AA106" s="576"/>
      <c r="AB106" s="576"/>
      <c r="AC106" s="98"/>
      <c r="AD106" s="98"/>
      <c r="AE106" s="98"/>
      <c r="AF106" s="98"/>
      <c r="AG106" s="98"/>
      <c r="AH106" s="98"/>
      <c r="AI106" s="576"/>
      <c r="AJ106" s="576"/>
      <c r="AK106" s="576"/>
      <c r="AL106" s="576"/>
      <c r="AM106" s="576"/>
      <c r="AN106" s="576"/>
      <c r="AO106" s="576"/>
      <c r="AP106" s="576"/>
      <c r="AQ106" s="576"/>
      <c r="AR106" s="576"/>
      <c r="AS106" s="576"/>
      <c r="AT106" s="576"/>
      <c r="AU106" s="576"/>
      <c r="AV106" s="576"/>
      <c r="AW106" s="576"/>
      <c r="AX106" s="576"/>
      <c r="AY106" s="576"/>
      <c r="AZ106" s="576"/>
      <c r="BA106" s="576"/>
      <c r="BB106" s="576"/>
      <c r="BC106" s="576"/>
      <c r="BD106" s="576"/>
      <c r="BE106" s="576"/>
      <c r="BF106" s="576"/>
      <c r="BG106" s="577"/>
    </row>
    <row r="107" spans="1:59" x14ac:dyDescent="0.2">
      <c r="A107" s="576"/>
      <c r="B107" s="98"/>
      <c r="C107" s="98"/>
      <c r="D107" s="98"/>
      <c r="E107" s="98"/>
      <c r="F107" s="98"/>
      <c r="G107" s="98"/>
      <c r="H107" s="98"/>
      <c r="I107" s="576"/>
      <c r="J107" s="576"/>
      <c r="K107" s="576"/>
      <c r="L107" s="576"/>
      <c r="M107" s="576"/>
      <c r="N107" s="576"/>
      <c r="O107" s="576"/>
      <c r="P107" s="576"/>
      <c r="Q107" s="576"/>
      <c r="R107" s="576"/>
      <c r="S107" s="576"/>
      <c r="T107" s="576"/>
      <c r="U107" s="576"/>
      <c r="V107" s="576"/>
      <c r="W107" s="576"/>
      <c r="X107" s="576"/>
      <c r="Y107" s="576"/>
      <c r="Z107" s="576"/>
      <c r="AA107" s="576"/>
      <c r="AB107" s="576"/>
      <c r="AC107" s="98"/>
      <c r="AD107" s="98"/>
      <c r="AE107" s="98"/>
      <c r="AF107" s="98"/>
      <c r="AG107" s="98"/>
      <c r="AH107" s="98"/>
      <c r="AI107" s="576"/>
      <c r="AJ107" s="576"/>
      <c r="AK107" s="576"/>
      <c r="AL107" s="576"/>
      <c r="AM107" s="576"/>
      <c r="AN107" s="576"/>
      <c r="AO107" s="576"/>
      <c r="AP107" s="576"/>
      <c r="AQ107" s="576"/>
      <c r="AR107" s="576"/>
      <c r="AS107" s="576"/>
      <c r="AT107" s="576"/>
      <c r="AU107" s="576"/>
      <c r="AV107" s="576"/>
      <c r="AW107" s="576"/>
      <c r="AX107" s="576"/>
      <c r="AY107" s="576"/>
      <c r="AZ107" s="576"/>
      <c r="BA107" s="576"/>
      <c r="BB107" s="576"/>
      <c r="BC107" s="576"/>
      <c r="BD107" s="576"/>
      <c r="BE107" s="576"/>
      <c r="BF107" s="576"/>
      <c r="BG107" s="577"/>
    </row>
    <row r="108" spans="1:59" x14ac:dyDescent="0.2">
      <c r="A108" s="576"/>
      <c r="B108" s="98"/>
      <c r="C108" s="98"/>
      <c r="D108" s="98"/>
      <c r="E108" s="98"/>
      <c r="F108" s="98"/>
      <c r="G108" s="98"/>
      <c r="H108" s="98"/>
      <c r="I108" s="576"/>
      <c r="J108" s="576"/>
      <c r="K108" s="576"/>
      <c r="L108" s="576"/>
      <c r="M108" s="576"/>
      <c r="N108" s="576"/>
      <c r="O108" s="576"/>
      <c r="P108" s="576"/>
      <c r="Q108" s="576"/>
      <c r="R108" s="576"/>
      <c r="S108" s="576"/>
      <c r="T108" s="576"/>
      <c r="U108" s="576"/>
      <c r="V108" s="576"/>
      <c r="W108" s="576"/>
      <c r="X108" s="576"/>
      <c r="Y108" s="576"/>
      <c r="Z108" s="576"/>
      <c r="AA108" s="576"/>
      <c r="AB108" s="576"/>
      <c r="AC108" s="98"/>
      <c r="AD108" s="98"/>
      <c r="AE108" s="98"/>
      <c r="AF108" s="98"/>
      <c r="AG108" s="98"/>
      <c r="AH108" s="98"/>
      <c r="AI108" s="576"/>
      <c r="AJ108" s="576"/>
      <c r="AK108" s="576"/>
      <c r="AL108" s="576"/>
      <c r="AM108" s="576"/>
      <c r="AN108" s="576"/>
      <c r="AO108" s="576"/>
      <c r="AP108" s="576"/>
      <c r="AQ108" s="576"/>
      <c r="AR108" s="576"/>
      <c r="AS108" s="576"/>
      <c r="AT108" s="576"/>
      <c r="AU108" s="576"/>
      <c r="AV108" s="576"/>
      <c r="AW108" s="576"/>
      <c r="AX108" s="576"/>
      <c r="AY108" s="576"/>
      <c r="AZ108" s="576"/>
      <c r="BA108" s="576"/>
      <c r="BB108" s="576"/>
      <c r="BC108" s="576"/>
      <c r="BD108" s="576"/>
      <c r="BE108" s="576"/>
      <c r="BF108" s="576"/>
      <c r="BG108" s="577"/>
    </row>
    <row r="109" spans="1:59" x14ac:dyDescent="0.2">
      <c r="A109" s="576"/>
      <c r="B109" s="98"/>
      <c r="C109" s="98"/>
      <c r="D109" s="98"/>
      <c r="E109" s="98"/>
      <c r="F109" s="98"/>
      <c r="G109" s="98"/>
      <c r="H109" s="98"/>
      <c r="I109" s="576"/>
      <c r="J109" s="576"/>
      <c r="K109" s="576"/>
      <c r="L109" s="576"/>
      <c r="M109" s="576"/>
      <c r="N109" s="576"/>
      <c r="O109" s="576"/>
      <c r="P109" s="576"/>
      <c r="Q109" s="576"/>
      <c r="R109" s="576"/>
      <c r="S109" s="576"/>
      <c r="T109" s="576"/>
      <c r="U109" s="576"/>
      <c r="V109" s="576"/>
      <c r="W109" s="576"/>
      <c r="X109" s="576"/>
      <c r="Y109" s="576"/>
      <c r="Z109" s="576"/>
      <c r="AA109" s="576"/>
      <c r="AB109" s="576"/>
      <c r="AC109" s="98"/>
      <c r="AD109" s="98"/>
      <c r="AE109" s="98"/>
      <c r="AF109" s="98"/>
      <c r="AG109" s="98"/>
      <c r="AH109" s="98"/>
      <c r="AI109" s="576"/>
      <c r="AJ109" s="576"/>
      <c r="AK109" s="576"/>
      <c r="AL109" s="576"/>
      <c r="AM109" s="576"/>
      <c r="AN109" s="576"/>
      <c r="AO109" s="576"/>
      <c r="AP109" s="576"/>
      <c r="AQ109" s="576"/>
      <c r="AR109" s="576"/>
      <c r="AS109" s="576"/>
      <c r="AT109" s="576"/>
      <c r="AU109" s="576"/>
      <c r="AV109" s="576"/>
      <c r="AW109" s="576"/>
      <c r="AX109" s="576"/>
      <c r="AY109" s="576"/>
      <c r="AZ109" s="576"/>
      <c r="BA109" s="576"/>
      <c r="BB109" s="576"/>
      <c r="BC109" s="576"/>
      <c r="BD109" s="576"/>
      <c r="BE109" s="576"/>
      <c r="BF109" s="576"/>
      <c r="BG109" s="577"/>
    </row>
    <row r="110" spans="1:59" x14ac:dyDescent="0.2">
      <c r="A110" s="576"/>
      <c r="B110" s="98"/>
      <c r="C110" s="98"/>
      <c r="D110" s="98"/>
      <c r="E110" s="98"/>
      <c r="F110" s="98"/>
      <c r="G110" s="98"/>
      <c r="H110" s="98"/>
      <c r="I110" s="576"/>
      <c r="J110" s="576"/>
      <c r="K110" s="576"/>
      <c r="L110" s="576"/>
      <c r="M110" s="576"/>
      <c r="N110" s="576"/>
      <c r="O110" s="576"/>
      <c r="P110" s="576"/>
      <c r="Q110" s="576"/>
      <c r="R110" s="576"/>
      <c r="S110" s="576"/>
      <c r="T110" s="576"/>
      <c r="U110" s="576"/>
      <c r="V110" s="576"/>
      <c r="W110" s="576"/>
      <c r="X110" s="576"/>
      <c r="Y110" s="576"/>
      <c r="Z110" s="576"/>
      <c r="AA110" s="576"/>
      <c r="AB110" s="576"/>
      <c r="AC110" s="98"/>
      <c r="AD110" s="98"/>
      <c r="AE110" s="98"/>
      <c r="AF110" s="98"/>
      <c r="AG110" s="98"/>
      <c r="AH110" s="98"/>
      <c r="AI110" s="576"/>
      <c r="AJ110" s="576"/>
      <c r="AK110" s="576"/>
      <c r="AL110" s="576"/>
      <c r="AM110" s="576"/>
      <c r="AN110" s="576"/>
      <c r="AO110" s="576"/>
      <c r="AP110" s="576"/>
      <c r="AQ110" s="576"/>
      <c r="AR110" s="576"/>
      <c r="AS110" s="576"/>
      <c r="AT110" s="576"/>
      <c r="AU110" s="576"/>
      <c r="AV110" s="576"/>
      <c r="AW110" s="576"/>
      <c r="AX110" s="576"/>
      <c r="AY110" s="576"/>
      <c r="AZ110" s="576"/>
      <c r="BA110" s="576"/>
      <c r="BB110" s="576"/>
      <c r="BC110" s="576"/>
      <c r="BD110" s="576"/>
      <c r="BE110" s="576"/>
      <c r="BF110" s="576"/>
      <c r="BG110" s="577"/>
    </row>
    <row r="111" spans="1:59" x14ac:dyDescent="0.2">
      <c r="A111" s="576"/>
      <c r="B111" s="98"/>
      <c r="C111" s="98"/>
      <c r="D111" s="98"/>
      <c r="E111" s="98"/>
      <c r="F111" s="98"/>
      <c r="G111" s="98"/>
      <c r="H111" s="98"/>
      <c r="I111" s="576"/>
      <c r="J111" s="576"/>
      <c r="K111" s="576"/>
      <c r="L111" s="576"/>
      <c r="M111" s="576"/>
      <c r="N111" s="576"/>
      <c r="O111" s="576"/>
      <c r="P111" s="576"/>
      <c r="Q111" s="576"/>
      <c r="R111" s="576"/>
      <c r="S111" s="576"/>
      <c r="T111" s="576"/>
      <c r="U111" s="576"/>
      <c r="V111" s="576"/>
      <c r="W111" s="576"/>
      <c r="X111" s="576"/>
      <c r="Y111" s="576"/>
      <c r="Z111" s="576"/>
      <c r="AA111" s="576"/>
      <c r="AB111" s="576"/>
      <c r="AC111" s="98"/>
      <c r="AD111" s="98"/>
      <c r="AE111" s="98"/>
      <c r="AF111" s="98"/>
      <c r="AG111" s="98"/>
      <c r="AH111" s="98"/>
      <c r="AI111" s="576"/>
      <c r="AJ111" s="576"/>
      <c r="AK111" s="576"/>
      <c r="AL111" s="576"/>
      <c r="AM111" s="576"/>
      <c r="AN111" s="576"/>
      <c r="AO111" s="576"/>
      <c r="AP111" s="576"/>
      <c r="AQ111" s="576"/>
      <c r="AR111" s="576"/>
      <c r="AS111" s="576"/>
      <c r="AT111" s="576"/>
      <c r="AU111" s="576"/>
      <c r="AV111" s="576"/>
      <c r="AW111" s="576"/>
      <c r="AX111" s="576"/>
      <c r="AY111" s="576"/>
      <c r="AZ111" s="576"/>
      <c r="BA111" s="576"/>
      <c r="BB111" s="576"/>
      <c r="BC111" s="576"/>
      <c r="BD111" s="576"/>
      <c r="BE111" s="576"/>
      <c r="BF111" s="576"/>
      <c r="BG111" s="577"/>
    </row>
    <row r="112" spans="1:59" x14ac:dyDescent="0.2">
      <c r="A112" s="576"/>
      <c r="B112" s="98"/>
      <c r="C112" s="98"/>
      <c r="D112" s="98"/>
      <c r="E112" s="98"/>
      <c r="F112" s="98"/>
      <c r="G112" s="98"/>
      <c r="H112" s="98"/>
      <c r="I112" s="576"/>
      <c r="J112" s="576"/>
      <c r="K112" s="576"/>
      <c r="L112" s="576"/>
      <c r="M112" s="576"/>
      <c r="N112" s="576"/>
      <c r="O112" s="576"/>
      <c r="P112" s="576"/>
      <c r="Q112" s="576"/>
      <c r="R112" s="576"/>
      <c r="S112" s="576"/>
      <c r="T112" s="576"/>
      <c r="U112" s="576"/>
      <c r="V112" s="576"/>
      <c r="W112" s="576"/>
      <c r="X112" s="576"/>
      <c r="Y112" s="576"/>
      <c r="Z112" s="576"/>
      <c r="AA112" s="576"/>
      <c r="AB112" s="576"/>
      <c r="AC112" s="98"/>
      <c r="AD112" s="98"/>
      <c r="AE112" s="98"/>
      <c r="AF112" s="98"/>
      <c r="AG112" s="98"/>
      <c r="AH112" s="98"/>
      <c r="AI112" s="576"/>
      <c r="AJ112" s="576"/>
      <c r="AK112" s="576"/>
      <c r="AL112" s="576"/>
      <c r="AM112" s="576"/>
      <c r="AN112" s="576"/>
      <c r="AO112" s="576"/>
      <c r="AP112" s="576"/>
      <c r="AQ112" s="576"/>
      <c r="AR112" s="576"/>
      <c r="AS112" s="576"/>
      <c r="AT112" s="576"/>
      <c r="AU112" s="576"/>
      <c r="AV112" s="576"/>
      <c r="AW112" s="576"/>
      <c r="AX112" s="576"/>
      <c r="AY112" s="576"/>
      <c r="AZ112" s="576"/>
      <c r="BA112" s="576"/>
      <c r="BB112" s="576"/>
      <c r="BC112" s="576"/>
      <c r="BD112" s="576"/>
      <c r="BE112" s="576"/>
      <c r="BF112" s="576"/>
      <c r="BG112" s="577"/>
    </row>
    <row r="113" spans="1:59" x14ac:dyDescent="0.2">
      <c r="A113" s="576"/>
      <c r="B113" s="98"/>
      <c r="C113" s="98"/>
      <c r="D113" s="98"/>
      <c r="E113" s="98"/>
      <c r="F113" s="98"/>
      <c r="G113" s="98"/>
      <c r="H113" s="98"/>
      <c r="I113" s="576"/>
      <c r="J113" s="576"/>
      <c r="K113" s="576"/>
      <c r="L113" s="576"/>
      <c r="M113" s="576"/>
      <c r="N113" s="576"/>
      <c r="O113" s="576"/>
      <c r="P113" s="576"/>
      <c r="Q113" s="576"/>
      <c r="R113" s="576"/>
      <c r="S113" s="576"/>
      <c r="T113" s="576"/>
      <c r="U113" s="576"/>
      <c r="V113" s="576"/>
      <c r="W113" s="576"/>
      <c r="X113" s="576"/>
      <c r="Y113" s="576"/>
      <c r="Z113" s="576"/>
      <c r="AA113" s="576"/>
      <c r="AB113" s="576"/>
      <c r="AC113" s="98"/>
      <c r="AD113" s="98"/>
      <c r="AE113" s="98"/>
      <c r="AF113" s="98"/>
      <c r="AG113" s="98"/>
      <c r="AH113" s="98"/>
      <c r="AI113" s="576"/>
      <c r="AJ113" s="576"/>
      <c r="AK113" s="576"/>
      <c r="AL113" s="576"/>
      <c r="AM113" s="576"/>
      <c r="AN113" s="576"/>
      <c r="AO113" s="576"/>
      <c r="AP113" s="576"/>
      <c r="AQ113" s="576"/>
      <c r="AR113" s="576"/>
      <c r="AS113" s="576"/>
      <c r="AT113" s="576"/>
      <c r="AU113" s="576"/>
      <c r="AV113" s="576"/>
      <c r="AW113" s="576"/>
      <c r="AX113" s="576"/>
      <c r="AY113" s="576"/>
      <c r="AZ113" s="576"/>
      <c r="BA113" s="576"/>
      <c r="BB113" s="576"/>
      <c r="BC113" s="576"/>
      <c r="BD113" s="576"/>
      <c r="BE113" s="576"/>
      <c r="BF113" s="576"/>
      <c r="BG113" s="577"/>
    </row>
    <row r="114" spans="1:59" x14ac:dyDescent="0.2">
      <c r="A114" s="576"/>
      <c r="B114" s="98"/>
      <c r="C114" s="98"/>
      <c r="D114" s="98"/>
      <c r="E114" s="98"/>
      <c r="F114" s="98"/>
      <c r="G114" s="98"/>
      <c r="H114" s="98"/>
      <c r="I114" s="576"/>
      <c r="J114" s="576"/>
      <c r="K114" s="576"/>
      <c r="L114" s="576"/>
      <c r="M114" s="576"/>
      <c r="N114" s="576"/>
      <c r="O114" s="576"/>
      <c r="P114" s="576"/>
      <c r="Q114" s="576"/>
      <c r="R114" s="576"/>
      <c r="S114" s="576"/>
      <c r="T114" s="576"/>
      <c r="U114" s="576"/>
      <c r="V114" s="576"/>
      <c r="W114" s="576"/>
      <c r="X114" s="576"/>
      <c r="Y114" s="576"/>
      <c r="Z114" s="576"/>
      <c r="AA114" s="576"/>
      <c r="AB114" s="576"/>
      <c r="AC114" s="98"/>
      <c r="AD114" s="98"/>
      <c r="AE114" s="98"/>
      <c r="AF114" s="98"/>
      <c r="AG114" s="98"/>
      <c r="AH114" s="98"/>
      <c r="AI114" s="576"/>
      <c r="AJ114" s="576"/>
      <c r="AK114" s="576"/>
      <c r="AL114" s="576"/>
      <c r="AM114" s="576"/>
      <c r="AN114" s="576"/>
      <c r="AO114" s="576"/>
      <c r="AP114" s="576"/>
      <c r="AQ114" s="576"/>
      <c r="AR114" s="576"/>
      <c r="AS114" s="576"/>
      <c r="AT114" s="576"/>
      <c r="AU114" s="576"/>
      <c r="AV114" s="576"/>
      <c r="AW114" s="576"/>
      <c r="AX114" s="576"/>
      <c r="AY114" s="576"/>
      <c r="AZ114" s="576"/>
      <c r="BA114" s="576"/>
      <c r="BB114" s="576"/>
      <c r="BC114" s="576"/>
      <c r="BD114" s="576"/>
      <c r="BE114" s="576"/>
      <c r="BF114" s="576"/>
      <c r="BG114" s="577"/>
    </row>
    <row r="115" spans="1:59" x14ac:dyDescent="0.2">
      <c r="A115" s="576"/>
      <c r="B115" s="98"/>
      <c r="C115" s="98"/>
      <c r="D115" s="98"/>
      <c r="E115" s="98"/>
      <c r="F115" s="98"/>
      <c r="G115" s="98"/>
      <c r="H115" s="98"/>
      <c r="I115" s="576"/>
      <c r="J115" s="576"/>
      <c r="K115" s="576"/>
      <c r="L115" s="576"/>
      <c r="M115" s="576"/>
      <c r="N115" s="576"/>
      <c r="O115" s="576"/>
      <c r="P115" s="576"/>
      <c r="Q115" s="576"/>
      <c r="R115" s="576"/>
      <c r="S115" s="576"/>
      <c r="T115" s="576"/>
      <c r="U115" s="576"/>
      <c r="V115" s="576"/>
      <c r="W115" s="576"/>
      <c r="X115" s="576"/>
      <c r="Y115" s="576"/>
      <c r="Z115" s="576"/>
      <c r="AA115" s="576"/>
      <c r="AB115" s="576"/>
      <c r="AC115" s="98"/>
      <c r="AD115" s="98"/>
      <c r="AE115" s="98"/>
      <c r="AF115" s="98"/>
      <c r="AG115" s="98"/>
      <c r="AH115" s="98"/>
      <c r="AI115" s="576"/>
      <c r="AJ115" s="576"/>
      <c r="AK115" s="576"/>
      <c r="AL115" s="576"/>
      <c r="AM115" s="576"/>
      <c r="AN115" s="576"/>
      <c r="AO115" s="576"/>
      <c r="AP115" s="576"/>
      <c r="AQ115" s="576"/>
      <c r="AR115" s="576"/>
      <c r="AS115" s="576"/>
      <c r="AT115" s="576"/>
      <c r="AU115" s="576"/>
      <c r="AV115" s="576"/>
      <c r="AW115" s="576"/>
      <c r="AX115" s="576"/>
      <c r="AY115" s="576"/>
      <c r="AZ115" s="576"/>
      <c r="BA115" s="576"/>
      <c r="BB115" s="576"/>
      <c r="BC115" s="576"/>
      <c r="BD115" s="576"/>
      <c r="BE115" s="576"/>
      <c r="BF115" s="576"/>
      <c r="BG115" s="577"/>
    </row>
    <row r="116" spans="1:59" x14ac:dyDescent="0.2">
      <c r="A116" s="576"/>
      <c r="B116" s="98"/>
      <c r="C116" s="98"/>
      <c r="D116" s="98"/>
      <c r="E116" s="98"/>
      <c r="F116" s="98"/>
      <c r="G116" s="98"/>
      <c r="H116" s="98"/>
      <c r="I116" s="576"/>
      <c r="J116" s="576"/>
      <c r="K116" s="576"/>
      <c r="L116" s="576"/>
      <c r="M116" s="576"/>
      <c r="N116" s="576"/>
      <c r="O116" s="576"/>
      <c r="P116" s="576"/>
      <c r="Q116" s="576"/>
      <c r="R116" s="576"/>
      <c r="S116" s="576"/>
      <c r="T116" s="576"/>
      <c r="U116" s="576"/>
      <c r="V116" s="576"/>
      <c r="W116" s="576"/>
      <c r="X116" s="576"/>
      <c r="Y116" s="576"/>
      <c r="Z116" s="576"/>
      <c r="AA116" s="576"/>
      <c r="AB116" s="576"/>
      <c r="AC116" s="98"/>
      <c r="AD116" s="98"/>
      <c r="AE116" s="98"/>
      <c r="AF116" s="98"/>
      <c r="AG116" s="98"/>
      <c r="AH116" s="98"/>
      <c r="AI116" s="576"/>
      <c r="AJ116" s="576"/>
      <c r="AK116" s="576"/>
      <c r="AL116" s="576"/>
      <c r="AM116" s="576"/>
      <c r="AN116" s="576"/>
      <c r="AO116" s="576"/>
      <c r="AP116" s="576"/>
      <c r="AQ116" s="576"/>
      <c r="AR116" s="576"/>
      <c r="AS116" s="576"/>
      <c r="AT116" s="576"/>
      <c r="AU116" s="576"/>
      <c r="AV116" s="576"/>
      <c r="AW116" s="576"/>
      <c r="AX116" s="576"/>
      <c r="AY116" s="576"/>
      <c r="AZ116" s="576"/>
      <c r="BA116" s="576"/>
      <c r="BB116" s="576"/>
      <c r="BC116" s="576"/>
      <c r="BD116" s="576"/>
      <c r="BE116" s="576"/>
      <c r="BF116" s="576"/>
      <c r="BG116" s="577"/>
    </row>
    <row r="117" spans="1:59" x14ac:dyDescent="0.2">
      <c r="A117" s="576"/>
      <c r="B117" s="98"/>
      <c r="C117" s="98"/>
      <c r="D117" s="98"/>
      <c r="E117" s="98"/>
      <c r="F117" s="98"/>
      <c r="G117" s="98"/>
      <c r="H117" s="98"/>
      <c r="I117" s="576"/>
      <c r="J117" s="576"/>
      <c r="K117" s="576"/>
      <c r="L117" s="576"/>
      <c r="M117" s="576"/>
      <c r="N117" s="576"/>
      <c r="O117" s="576"/>
      <c r="P117" s="576"/>
      <c r="Q117" s="576"/>
      <c r="R117" s="576"/>
      <c r="S117" s="576"/>
      <c r="T117" s="576"/>
      <c r="U117" s="576"/>
      <c r="V117" s="576"/>
      <c r="W117" s="576"/>
      <c r="X117" s="576"/>
      <c r="Y117" s="576"/>
      <c r="Z117" s="576"/>
      <c r="AA117" s="576"/>
      <c r="AB117" s="576"/>
      <c r="AC117" s="98"/>
      <c r="AD117" s="98"/>
      <c r="AE117" s="98"/>
      <c r="AF117" s="98"/>
      <c r="AG117" s="98"/>
      <c r="AH117" s="98"/>
      <c r="AI117" s="576"/>
      <c r="AJ117" s="576"/>
      <c r="AK117" s="576"/>
      <c r="AL117" s="576"/>
      <c r="AM117" s="576"/>
      <c r="AN117" s="576"/>
      <c r="AO117" s="576"/>
      <c r="AP117" s="576"/>
      <c r="AQ117" s="576"/>
      <c r="AR117" s="576"/>
      <c r="AS117" s="576"/>
      <c r="AT117" s="576"/>
      <c r="AU117" s="576"/>
      <c r="AV117" s="576"/>
      <c r="AW117" s="576"/>
      <c r="AX117" s="576"/>
      <c r="AY117" s="576"/>
      <c r="AZ117" s="576"/>
      <c r="BA117" s="576"/>
      <c r="BB117" s="576"/>
      <c r="BC117" s="576"/>
      <c r="BD117" s="576"/>
      <c r="BE117" s="576"/>
      <c r="BF117" s="576"/>
      <c r="BG117" s="577"/>
    </row>
    <row r="118" spans="1:59" x14ac:dyDescent="0.2">
      <c r="A118" s="576"/>
      <c r="B118" s="98"/>
      <c r="C118" s="98"/>
      <c r="D118" s="98"/>
      <c r="E118" s="98"/>
      <c r="F118" s="98"/>
      <c r="G118" s="98"/>
      <c r="H118" s="98"/>
      <c r="I118" s="576"/>
      <c r="J118" s="576"/>
      <c r="K118" s="576"/>
      <c r="L118" s="576"/>
      <c r="M118" s="576"/>
      <c r="N118" s="576"/>
      <c r="O118" s="576"/>
      <c r="P118" s="576"/>
      <c r="Q118" s="576"/>
      <c r="R118" s="576"/>
      <c r="S118" s="576"/>
      <c r="T118" s="576"/>
      <c r="U118" s="576"/>
      <c r="V118" s="576"/>
      <c r="W118" s="576"/>
      <c r="X118" s="576"/>
      <c r="Y118" s="576"/>
      <c r="Z118" s="576"/>
      <c r="AA118" s="576"/>
      <c r="AB118" s="576"/>
      <c r="AC118" s="98"/>
      <c r="AD118" s="98"/>
      <c r="AE118" s="98"/>
      <c r="AF118" s="98"/>
      <c r="AG118" s="98"/>
      <c r="AH118" s="98"/>
      <c r="AI118" s="576"/>
      <c r="AJ118" s="576"/>
      <c r="AK118" s="576"/>
      <c r="AL118" s="576"/>
      <c r="AM118" s="576"/>
      <c r="AN118" s="576"/>
      <c r="AO118" s="576"/>
      <c r="AP118" s="576"/>
      <c r="AQ118" s="576"/>
      <c r="AR118" s="576"/>
      <c r="AS118" s="576"/>
      <c r="AT118" s="576"/>
      <c r="AU118" s="576"/>
      <c r="AV118" s="576"/>
      <c r="AW118" s="576"/>
      <c r="AX118" s="576"/>
      <c r="AY118" s="576"/>
      <c r="AZ118" s="576"/>
      <c r="BA118" s="576"/>
      <c r="BB118" s="576"/>
      <c r="BC118" s="576"/>
      <c r="BD118" s="576"/>
      <c r="BE118" s="576"/>
      <c r="BF118" s="576"/>
      <c r="BG118" s="577"/>
    </row>
    <row r="119" spans="1:59" x14ac:dyDescent="0.2">
      <c r="A119" s="576"/>
      <c r="B119" s="98"/>
      <c r="C119" s="98"/>
      <c r="D119" s="98"/>
      <c r="E119" s="98"/>
      <c r="F119" s="98"/>
      <c r="G119" s="98"/>
      <c r="H119" s="98"/>
      <c r="I119" s="576"/>
      <c r="J119" s="576"/>
      <c r="K119" s="576"/>
      <c r="L119" s="576"/>
      <c r="M119" s="576"/>
      <c r="N119" s="576"/>
      <c r="O119" s="576"/>
      <c r="P119" s="576"/>
      <c r="Q119" s="576"/>
      <c r="R119" s="576"/>
      <c r="S119" s="576"/>
      <c r="T119" s="576"/>
      <c r="U119" s="576"/>
      <c r="V119" s="576"/>
      <c r="W119" s="576"/>
      <c r="X119" s="576"/>
      <c r="Y119" s="576"/>
      <c r="Z119" s="576"/>
      <c r="AA119" s="576"/>
      <c r="AB119" s="576"/>
      <c r="AC119" s="98"/>
      <c r="AD119" s="98"/>
      <c r="AE119" s="98"/>
      <c r="AF119" s="98"/>
      <c r="AG119" s="98"/>
      <c r="AH119" s="98"/>
      <c r="AI119" s="576"/>
      <c r="AJ119" s="576"/>
      <c r="AK119" s="576"/>
      <c r="AL119" s="576"/>
      <c r="AM119" s="576"/>
      <c r="AN119" s="576"/>
      <c r="AO119" s="576"/>
      <c r="AP119" s="576"/>
      <c r="AQ119" s="576"/>
      <c r="AR119" s="576"/>
      <c r="AS119" s="576"/>
      <c r="AT119" s="576"/>
      <c r="AU119" s="576"/>
      <c r="AV119" s="576"/>
      <c r="AW119" s="576"/>
      <c r="AX119" s="576"/>
      <c r="AY119" s="576"/>
      <c r="AZ119" s="576"/>
      <c r="BA119" s="576"/>
      <c r="BB119" s="576"/>
      <c r="BC119" s="576"/>
      <c r="BD119" s="576"/>
      <c r="BE119" s="576"/>
      <c r="BF119" s="576"/>
      <c r="BG119" s="577"/>
    </row>
    <row r="120" spans="1:59" x14ac:dyDescent="0.2">
      <c r="A120" s="576"/>
      <c r="B120" s="98"/>
      <c r="C120" s="98"/>
      <c r="D120" s="98"/>
      <c r="E120" s="98"/>
      <c r="F120" s="98"/>
      <c r="G120" s="98"/>
      <c r="H120" s="98"/>
      <c r="I120" s="576"/>
      <c r="J120" s="576"/>
      <c r="K120" s="576"/>
      <c r="L120" s="576"/>
      <c r="M120" s="576"/>
      <c r="N120" s="576"/>
      <c r="O120" s="576"/>
      <c r="P120" s="576"/>
      <c r="Q120" s="576"/>
      <c r="R120" s="576"/>
      <c r="S120" s="576"/>
      <c r="T120" s="576"/>
      <c r="U120" s="576"/>
      <c r="V120" s="576"/>
      <c r="W120" s="576"/>
      <c r="X120" s="576"/>
      <c r="Y120" s="576"/>
      <c r="Z120" s="576"/>
      <c r="AA120" s="576"/>
      <c r="AB120" s="576"/>
      <c r="AC120" s="98"/>
      <c r="AD120" s="98"/>
      <c r="AE120" s="98"/>
      <c r="AF120" s="98"/>
      <c r="AG120" s="98"/>
      <c r="AH120" s="98"/>
      <c r="AI120" s="576"/>
      <c r="AJ120" s="576"/>
      <c r="AK120" s="576"/>
      <c r="AL120" s="576"/>
      <c r="AM120" s="576"/>
      <c r="AN120" s="576"/>
      <c r="AO120" s="576"/>
      <c r="AP120" s="576"/>
      <c r="AQ120" s="576"/>
      <c r="AR120" s="576"/>
      <c r="AS120" s="576"/>
      <c r="AT120" s="576"/>
      <c r="AU120" s="576"/>
      <c r="AV120" s="576"/>
      <c r="AW120" s="576"/>
      <c r="AX120" s="576"/>
      <c r="AY120" s="576"/>
      <c r="AZ120" s="576"/>
      <c r="BA120" s="576"/>
      <c r="BB120" s="576"/>
      <c r="BC120" s="576"/>
      <c r="BD120" s="576"/>
      <c r="BE120" s="576"/>
      <c r="BF120" s="576"/>
      <c r="BG120" s="577"/>
    </row>
    <row r="121" spans="1:59" x14ac:dyDescent="0.2">
      <c r="A121" s="576"/>
      <c r="B121" s="98"/>
      <c r="C121" s="98"/>
      <c r="D121" s="98"/>
      <c r="E121" s="98"/>
      <c r="F121" s="98"/>
      <c r="G121" s="98"/>
      <c r="H121" s="98"/>
      <c r="I121" s="576"/>
      <c r="J121" s="576"/>
      <c r="K121" s="576"/>
      <c r="L121" s="576"/>
      <c r="M121" s="576"/>
      <c r="N121" s="576"/>
      <c r="O121" s="576"/>
      <c r="P121" s="576"/>
      <c r="Q121" s="576"/>
      <c r="R121" s="576"/>
      <c r="S121" s="576"/>
      <c r="T121" s="576"/>
      <c r="U121" s="576"/>
      <c r="V121" s="576"/>
      <c r="W121" s="576"/>
      <c r="X121" s="576"/>
      <c r="Y121" s="576"/>
      <c r="Z121" s="576"/>
      <c r="AA121" s="576"/>
      <c r="AB121" s="576"/>
      <c r="AC121" s="98"/>
      <c r="AD121" s="98"/>
      <c r="AE121" s="98"/>
      <c r="AF121" s="98"/>
      <c r="AG121" s="98"/>
      <c r="AH121" s="98"/>
      <c r="AI121" s="576"/>
      <c r="AJ121" s="576"/>
      <c r="AK121" s="576"/>
      <c r="AL121" s="576"/>
      <c r="AM121" s="576"/>
      <c r="AN121" s="576"/>
      <c r="AO121" s="576"/>
      <c r="AP121" s="576"/>
      <c r="AQ121" s="576"/>
      <c r="AR121" s="576"/>
      <c r="AS121" s="576"/>
      <c r="AT121" s="576"/>
      <c r="AU121" s="576"/>
      <c r="AV121" s="576"/>
      <c r="AW121" s="576"/>
      <c r="AX121" s="576"/>
      <c r="AY121" s="576"/>
      <c r="AZ121" s="576"/>
      <c r="BA121" s="576"/>
      <c r="BB121" s="576"/>
      <c r="BC121" s="576"/>
      <c r="BD121" s="576"/>
      <c r="BE121" s="576"/>
      <c r="BF121" s="576"/>
      <c r="BG121" s="577"/>
    </row>
    <row r="122" spans="1:59" x14ac:dyDescent="0.2">
      <c r="A122" s="576"/>
      <c r="B122" s="98"/>
      <c r="C122" s="98"/>
      <c r="D122" s="98"/>
      <c r="E122" s="98"/>
      <c r="F122" s="98"/>
      <c r="G122" s="98"/>
      <c r="H122" s="98"/>
      <c r="I122" s="576"/>
      <c r="J122" s="576"/>
      <c r="K122" s="576"/>
      <c r="L122" s="576"/>
      <c r="M122" s="576"/>
      <c r="N122" s="576"/>
      <c r="O122" s="576"/>
      <c r="P122" s="576"/>
      <c r="Q122" s="576"/>
      <c r="R122" s="576"/>
      <c r="S122" s="576"/>
      <c r="T122" s="576"/>
      <c r="U122" s="576"/>
      <c r="V122" s="576"/>
      <c r="W122" s="576"/>
      <c r="X122" s="576"/>
      <c r="Y122" s="576"/>
      <c r="Z122" s="576"/>
      <c r="AA122" s="576"/>
      <c r="AB122" s="576"/>
      <c r="AC122" s="98"/>
      <c r="AD122" s="98"/>
      <c r="AE122" s="98"/>
      <c r="AF122" s="98"/>
      <c r="AG122" s="98"/>
      <c r="AH122" s="98"/>
      <c r="AI122" s="576"/>
      <c r="AJ122" s="576"/>
      <c r="AK122" s="576"/>
      <c r="AL122" s="576"/>
      <c r="AM122" s="576"/>
      <c r="AN122" s="576"/>
      <c r="AO122" s="576"/>
      <c r="AP122" s="576"/>
      <c r="AQ122" s="576"/>
      <c r="AR122" s="576"/>
      <c r="AS122" s="576"/>
      <c r="AT122" s="576"/>
      <c r="AU122" s="576"/>
      <c r="AV122" s="576"/>
      <c r="AW122" s="576"/>
      <c r="AX122" s="576"/>
      <c r="AY122" s="576"/>
      <c r="AZ122" s="576"/>
      <c r="BA122" s="576"/>
      <c r="BB122" s="576"/>
      <c r="BC122" s="576"/>
      <c r="BD122" s="576"/>
      <c r="BE122" s="576"/>
      <c r="BF122" s="576"/>
      <c r="BG122" s="577"/>
    </row>
    <row r="123" spans="1:59" x14ac:dyDescent="0.2">
      <c r="A123" s="576"/>
      <c r="B123" s="98"/>
      <c r="C123" s="98"/>
      <c r="D123" s="98"/>
      <c r="E123" s="98"/>
      <c r="F123" s="98"/>
      <c r="G123" s="98"/>
      <c r="H123" s="98"/>
      <c r="I123" s="576"/>
      <c r="J123" s="576"/>
      <c r="K123" s="576"/>
      <c r="L123" s="576"/>
      <c r="M123" s="576"/>
      <c r="N123" s="576"/>
      <c r="O123" s="576"/>
      <c r="P123" s="576"/>
      <c r="Q123" s="576"/>
      <c r="R123" s="576"/>
      <c r="S123" s="576"/>
      <c r="T123" s="576"/>
      <c r="U123" s="576"/>
      <c r="V123" s="576"/>
      <c r="W123" s="576"/>
      <c r="X123" s="576"/>
      <c r="Y123" s="576"/>
      <c r="Z123" s="576"/>
      <c r="AA123" s="576"/>
      <c r="AB123" s="576"/>
      <c r="AC123" s="98"/>
      <c r="AD123" s="98"/>
      <c r="AE123" s="98"/>
      <c r="AF123" s="98"/>
      <c r="AG123" s="98"/>
      <c r="AH123" s="98"/>
      <c r="AI123" s="576"/>
      <c r="AJ123" s="576"/>
      <c r="AK123" s="576"/>
      <c r="AL123" s="576"/>
      <c r="AM123" s="576"/>
      <c r="AN123" s="576"/>
      <c r="AO123" s="576"/>
      <c r="AP123" s="576"/>
      <c r="AQ123" s="576"/>
      <c r="AR123" s="576"/>
      <c r="AS123" s="576"/>
      <c r="AT123" s="576"/>
      <c r="AU123" s="576"/>
      <c r="AV123" s="576"/>
      <c r="AW123" s="576"/>
      <c r="AX123" s="576"/>
      <c r="AY123" s="576"/>
      <c r="AZ123" s="576"/>
      <c r="BA123" s="576"/>
      <c r="BB123" s="576"/>
      <c r="BC123" s="576"/>
      <c r="BD123" s="576"/>
      <c r="BE123" s="576"/>
      <c r="BF123" s="576"/>
      <c r="BG123" s="577"/>
    </row>
    <row r="124" spans="1:59" x14ac:dyDescent="0.2">
      <c r="A124" s="576"/>
      <c r="B124" s="98"/>
      <c r="C124" s="98"/>
      <c r="D124" s="98"/>
      <c r="E124" s="98"/>
      <c r="F124" s="98"/>
      <c r="G124" s="98"/>
      <c r="H124" s="98"/>
      <c r="I124" s="576"/>
      <c r="J124" s="576"/>
      <c r="K124" s="576"/>
      <c r="L124" s="576"/>
      <c r="M124" s="576"/>
      <c r="N124" s="576"/>
      <c r="O124" s="576"/>
      <c r="P124" s="576"/>
      <c r="Q124" s="576"/>
      <c r="R124" s="576"/>
      <c r="S124" s="576"/>
      <c r="T124" s="576"/>
      <c r="U124" s="576"/>
      <c r="V124" s="576"/>
      <c r="W124" s="576"/>
      <c r="X124" s="576"/>
      <c r="Y124" s="576"/>
      <c r="Z124" s="576"/>
      <c r="AA124" s="576"/>
      <c r="AB124" s="576"/>
      <c r="AC124" s="98"/>
      <c r="AD124" s="98"/>
      <c r="AE124" s="98"/>
      <c r="AF124" s="98"/>
      <c r="AG124" s="98"/>
      <c r="AH124" s="98"/>
      <c r="AI124" s="576"/>
      <c r="AJ124" s="576"/>
      <c r="AK124" s="576"/>
      <c r="AL124" s="576"/>
      <c r="AM124" s="576"/>
      <c r="AN124" s="576"/>
      <c r="AO124" s="576"/>
      <c r="AP124" s="576"/>
      <c r="AQ124" s="576"/>
      <c r="AR124" s="576"/>
      <c r="AS124" s="576"/>
      <c r="AT124" s="576"/>
      <c r="AU124" s="576"/>
      <c r="AV124" s="576"/>
      <c r="AW124" s="576"/>
      <c r="AX124" s="576"/>
      <c r="AY124" s="576"/>
      <c r="AZ124" s="576"/>
      <c r="BA124" s="576"/>
      <c r="BB124" s="576"/>
      <c r="BC124" s="576"/>
      <c r="BD124" s="576"/>
      <c r="BE124" s="576"/>
      <c r="BF124" s="576"/>
      <c r="BG124" s="577"/>
    </row>
    <row r="125" spans="1:59" x14ac:dyDescent="0.2">
      <c r="A125" s="576"/>
      <c r="B125" s="98"/>
      <c r="C125" s="98"/>
      <c r="D125" s="98"/>
      <c r="E125" s="98"/>
      <c r="F125" s="98"/>
      <c r="G125" s="98"/>
      <c r="H125" s="98"/>
      <c r="I125" s="576"/>
      <c r="J125" s="576"/>
      <c r="K125" s="576"/>
      <c r="L125" s="576"/>
      <c r="M125" s="576"/>
      <c r="N125" s="576"/>
      <c r="O125" s="576"/>
      <c r="P125" s="576"/>
      <c r="Q125" s="576"/>
      <c r="R125" s="576"/>
      <c r="S125" s="576"/>
      <c r="T125" s="576"/>
      <c r="U125" s="576"/>
      <c r="V125" s="576"/>
      <c r="W125" s="576"/>
      <c r="X125" s="576"/>
      <c r="Y125" s="576"/>
      <c r="Z125" s="576"/>
      <c r="AA125" s="576"/>
      <c r="AB125" s="576"/>
      <c r="AC125" s="98"/>
      <c r="AD125" s="98"/>
      <c r="AE125" s="98"/>
      <c r="AF125" s="98"/>
      <c r="AG125" s="98"/>
      <c r="AH125" s="98"/>
      <c r="AI125" s="576"/>
      <c r="AJ125" s="576"/>
      <c r="AK125" s="576"/>
      <c r="AL125" s="576"/>
      <c r="AM125" s="576"/>
      <c r="AN125" s="576"/>
      <c r="AO125" s="576"/>
      <c r="AP125" s="576"/>
      <c r="AQ125" s="576"/>
      <c r="AR125" s="576"/>
      <c r="AS125" s="576"/>
      <c r="AT125" s="576"/>
      <c r="AU125" s="576"/>
      <c r="AV125" s="576"/>
      <c r="AW125" s="576"/>
      <c r="AX125" s="576"/>
      <c r="AY125" s="576"/>
      <c r="AZ125" s="576"/>
      <c r="BA125" s="576"/>
      <c r="BB125" s="576"/>
      <c r="BC125" s="576"/>
      <c r="BD125" s="576"/>
      <c r="BE125" s="576"/>
      <c r="BF125" s="576"/>
      <c r="BG125" s="577"/>
    </row>
    <row r="126" spans="1:59" x14ac:dyDescent="0.2">
      <c r="A126" s="576"/>
      <c r="B126" s="98"/>
      <c r="C126" s="98"/>
      <c r="D126" s="98"/>
      <c r="E126" s="98"/>
      <c r="F126" s="98"/>
      <c r="G126" s="98"/>
      <c r="H126" s="98"/>
      <c r="I126" s="576"/>
      <c r="J126" s="576"/>
      <c r="K126" s="576"/>
      <c r="L126" s="576"/>
      <c r="M126" s="576"/>
      <c r="N126" s="576"/>
      <c r="O126" s="576"/>
      <c r="P126" s="576"/>
      <c r="Q126" s="576"/>
      <c r="R126" s="576"/>
      <c r="S126" s="576"/>
      <c r="T126" s="576"/>
      <c r="U126" s="576"/>
      <c r="V126" s="576"/>
      <c r="W126" s="576"/>
      <c r="X126" s="576"/>
      <c r="Y126" s="576"/>
      <c r="Z126" s="576"/>
      <c r="AA126" s="576"/>
      <c r="AB126" s="576"/>
      <c r="AC126" s="98"/>
      <c r="AD126" s="98"/>
      <c r="AE126" s="98"/>
      <c r="AF126" s="98"/>
      <c r="AG126" s="98"/>
      <c r="AH126" s="98"/>
      <c r="AI126" s="576"/>
      <c r="AJ126" s="576"/>
      <c r="AK126" s="576"/>
      <c r="AL126" s="576"/>
      <c r="AM126" s="576"/>
      <c r="AN126" s="576"/>
      <c r="AO126" s="576"/>
      <c r="AP126" s="576"/>
      <c r="AQ126" s="576"/>
      <c r="AR126" s="576"/>
      <c r="AS126" s="576"/>
      <c r="AT126" s="576"/>
      <c r="AU126" s="576"/>
      <c r="AV126" s="576"/>
      <c r="AW126" s="576"/>
      <c r="AX126" s="576"/>
      <c r="AY126" s="576"/>
      <c r="AZ126" s="576"/>
      <c r="BA126" s="576"/>
      <c r="BB126" s="576"/>
      <c r="BC126" s="576"/>
      <c r="BD126" s="576"/>
      <c r="BE126" s="576"/>
      <c r="BF126" s="576"/>
      <c r="BG126" s="577"/>
    </row>
    <row r="127" spans="1:59" x14ac:dyDescent="0.2">
      <c r="A127" s="576"/>
      <c r="B127" s="98"/>
      <c r="C127" s="98"/>
      <c r="D127" s="98"/>
      <c r="E127" s="98"/>
      <c r="F127" s="98"/>
      <c r="G127" s="98"/>
      <c r="H127" s="98"/>
      <c r="I127" s="576"/>
      <c r="J127" s="576"/>
      <c r="K127" s="576"/>
      <c r="L127" s="576"/>
      <c r="M127" s="576"/>
      <c r="N127" s="576"/>
      <c r="O127" s="576"/>
      <c r="P127" s="576"/>
      <c r="Q127" s="576"/>
      <c r="R127" s="576"/>
      <c r="S127" s="576"/>
      <c r="T127" s="576"/>
      <c r="U127" s="576"/>
      <c r="V127" s="576"/>
      <c r="W127" s="576"/>
      <c r="X127" s="576"/>
      <c r="Y127" s="576"/>
      <c r="Z127" s="576"/>
      <c r="AA127" s="576"/>
      <c r="AB127" s="576"/>
      <c r="AC127" s="98"/>
      <c r="AD127" s="98"/>
      <c r="AE127" s="98"/>
      <c r="AF127" s="98"/>
      <c r="AG127" s="98"/>
      <c r="AH127" s="98"/>
      <c r="AI127" s="576"/>
      <c r="AJ127" s="576"/>
      <c r="AK127" s="576"/>
      <c r="AL127" s="576"/>
      <c r="AM127" s="576"/>
      <c r="AN127" s="576"/>
      <c r="AO127" s="576"/>
      <c r="AP127" s="576"/>
      <c r="AQ127" s="576"/>
      <c r="AR127" s="576"/>
      <c r="AS127" s="576"/>
      <c r="AT127" s="576"/>
      <c r="AU127" s="576"/>
      <c r="AV127" s="576"/>
      <c r="AW127" s="576"/>
      <c r="AX127" s="576"/>
      <c r="AY127" s="576"/>
      <c r="AZ127" s="576"/>
      <c r="BA127" s="576"/>
      <c r="BB127" s="576"/>
      <c r="BC127" s="576"/>
      <c r="BD127" s="576"/>
      <c r="BE127" s="576"/>
      <c r="BF127" s="576"/>
      <c r="BG127" s="577"/>
    </row>
    <row r="128" spans="1:59" x14ac:dyDescent="0.2">
      <c r="A128" s="576"/>
      <c r="B128" s="98"/>
      <c r="C128" s="98"/>
      <c r="D128" s="98"/>
      <c r="E128" s="98"/>
      <c r="F128" s="98"/>
      <c r="G128" s="98"/>
      <c r="H128" s="98"/>
      <c r="I128" s="576"/>
      <c r="J128" s="576"/>
      <c r="K128" s="576"/>
      <c r="L128" s="576"/>
      <c r="M128" s="576"/>
      <c r="N128" s="576"/>
      <c r="O128" s="576"/>
      <c r="P128" s="576"/>
      <c r="Q128" s="576"/>
      <c r="R128" s="576"/>
      <c r="S128" s="576"/>
      <c r="T128" s="576"/>
      <c r="U128" s="576"/>
      <c r="V128" s="576"/>
      <c r="W128" s="576"/>
      <c r="X128" s="576"/>
      <c r="Y128" s="576"/>
      <c r="Z128" s="576"/>
      <c r="AA128" s="576"/>
      <c r="AB128" s="576"/>
      <c r="AC128" s="98"/>
      <c r="AD128" s="98"/>
      <c r="AE128" s="98"/>
      <c r="AF128" s="98"/>
      <c r="AG128" s="98"/>
      <c r="AH128" s="98"/>
      <c r="AI128" s="576"/>
      <c r="AJ128" s="576"/>
      <c r="AK128" s="576"/>
      <c r="AL128" s="576"/>
      <c r="AM128" s="576"/>
      <c r="AN128" s="576"/>
      <c r="AO128" s="576"/>
      <c r="AP128" s="576"/>
      <c r="AQ128" s="576"/>
      <c r="AR128" s="576"/>
      <c r="AS128" s="576"/>
      <c r="AT128" s="576"/>
      <c r="AU128" s="576"/>
      <c r="AV128" s="576"/>
      <c r="AW128" s="576"/>
      <c r="AX128" s="576"/>
      <c r="AY128" s="576"/>
      <c r="AZ128" s="576"/>
      <c r="BA128" s="576"/>
      <c r="BB128" s="576"/>
      <c r="BC128" s="576"/>
      <c r="BD128" s="576"/>
      <c r="BE128" s="576"/>
      <c r="BF128" s="576"/>
      <c r="BG128" s="577"/>
    </row>
    <row r="129" spans="1:59" x14ac:dyDescent="0.2">
      <c r="A129" s="576"/>
      <c r="B129" s="98"/>
      <c r="C129" s="98"/>
      <c r="D129" s="98"/>
      <c r="E129" s="98"/>
      <c r="F129" s="98"/>
      <c r="G129" s="98"/>
      <c r="H129" s="98"/>
      <c r="I129" s="576"/>
      <c r="J129" s="576"/>
      <c r="K129" s="576"/>
      <c r="L129" s="576"/>
      <c r="M129" s="576"/>
      <c r="N129" s="576"/>
      <c r="O129" s="576"/>
      <c r="P129" s="576"/>
      <c r="Q129" s="576"/>
      <c r="R129" s="576"/>
      <c r="S129" s="576"/>
      <c r="T129" s="576"/>
      <c r="U129" s="576"/>
      <c r="V129" s="576"/>
      <c r="W129" s="576"/>
      <c r="X129" s="576"/>
      <c r="Y129" s="576"/>
      <c r="Z129" s="576"/>
      <c r="AA129" s="576"/>
      <c r="AB129" s="576"/>
      <c r="AC129" s="98"/>
      <c r="AD129" s="98"/>
      <c r="AE129" s="98"/>
      <c r="AF129" s="98"/>
      <c r="AG129" s="98"/>
      <c r="AH129" s="98"/>
      <c r="AI129" s="576"/>
      <c r="AJ129" s="576"/>
      <c r="AK129" s="576"/>
      <c r="AL129" s="576"/>
      <c r="AM129" s="576"/>
      <c r="AN129" s="576"/>
      <c r="AO129" s="576"/>
      <c r="AP129" s="576"/>
      <c r="AQ129" s="576"/>
      <c r="AR129" s="576"/>
      <c r="AS129" s="576"/>
      <c r="AT129" s="576"/>
      <c r="AU129" s="576"/>
      <c r="AV129" s="576"/>
      <c r="AW129" s="576"/>
      <c r="AX129" s="576"/>
      <c r="AY129" s="576"/>
      <c r="AZ129" s="576"/>
      <c r="BA129" s="576"/>
      <c r="BB129" s="576"/>
      <c r="BC129" s="576"/>
      <c r="BD129" s="576"/>
      <c r="BE129" s="576"/>
      <c r="BF129" s="576"/>
      <c r="BG129" s="577"/>
    </row>
    <row r="130" spans="1:59" x14ac:dyDescent="0.2">
      <c r="A130" s="576"/>
      <c r="B130" s="98"/>
      <c r="C130" s="98"/>
      <c r="D130" s="98"/>
      <c r="E130" s="98"/>
      <c r="F130" s="98"/>
      <c r="G130" s="98"/>
      <c r="H130" s="98"/>
      <c r="I130" s="576"/>
      <c r="J130" s="576"/>
      <c r="K130" s="576"/>
      <c r="L130" s="576"/>
      <c r="M130" s="576"/>
      <c r="N130" s="576"/>
      <c r="O130" s="576"/>
      <c r="P130" s="576"/>
      <c r="Q130" s="576"/>
      <c r="R130" s="576"/>
      <c r="S130" s="576"/>
      <c r="T130" s="576"/>
      <c r="U130" s="576"/>
      <c r="V130" s="576"/>
      <c r="W130" s="576"/>
      <c r="X130" s="576"/>
      <c r="Y130" s="576"/>
      <c r="Z130" s="576"/>
      <c r="AA130" s="576"/>
      <c r="AB130" s="576"/>
      <c r="AC130" s="98"/>
      <c r="AD130" s="98"/>
      <c r="AE130" s="98"/>
      <c r="AF130" s="98"/>
      <c r="AG130" s="98"/>
      <c r="AH130" s="98"/>
      <c r="AI130" s="576"/>
      <c r="AJ130" s="576"/>
      <c r="AK130" s="576"/>
      <c r="AL130" s="576"/>
      <c r="AM130" s="576"/>
      <c r="AN130" s="576"/>
      <c r="AO130" s="576"/>
      <c r="AP130" s="576"/>
      <c r="AQ130" s="576"/>
      <c r="AR130" s="576"/>
      <c r="AS130" s="576"/>
      <c r="AT130" s="576"/>
      <c r="AU130" s="576"/>
      <c r="AV130" s="576"/>
      <c r="AW130" s="576"/>
      <c r="AX130" s="576"/>
      <c r="AY130" s="576"/>
      <c r="AZ130" s="576"/>
      <c r="BA130" s="576"/>
      <c r="BB130" s="576"/>
      <c r="BC130" s="576"/>
      <c r="BD130" s="576"/>
      <c r="BE130" s="576"/>
      <c r="BF130" s="576"/>
      <c r="BG130" s="577"/>
    </row>
    <row r="131" spans="1:59" x14ac:dyDescent="0.2">
      <c r="A131" s="576"/>
      <c r="B131" s="98"/>
      <c r="C131" s="98"/>
      <c r="D131" s="98"/>
      <c r="E131" s="98"/>
      <c r="F131" s="98"/>
      <c r="G131" s="98"/>
      <c r="H131" s="98"/>
      <c r="I131" s="576"/>
      <c r="J131" s="576"/>
      <c r="K131" s="576"/>
      <c r="L131" s="576"/>
      <c r="M131" s="576"/>
      <c r="N131" s="576"/>
      <c r="O131" s="576"/>
      <c r="P131" s="576"/>
      <c r="Q131" s="576"/>
      <c r="R131" s="576"/>
      <c r="S131" s="576"/>
      <c r="T131" s="576"/>
      <c r="U131" s="576"/>
      <c r="V131" s="576"/>
      <c r="W131" s="576"/>
      <c r="X131" s="576"/>
      <c r="Y131" s="576"/>
      <c r="Z131" s="576"/>
      <c r="AA131" s="576"/>
      <c r="AB131" s="576"/>
      <c r="AC131" s="98"/>
      <c r="AD131" s="98"/>
      <c r="AE131" s="98"/>
      <c r="AF131" s="98"/>
      <c r="AG131" s="98"/>
      <c r="AH131" s="98"/>
      <c r="AI131" s="576"/>
      <c r="AJ131" s="576"/>
      <c r="AK131" s="576"/>
      <c r="AL131" s="576"/>
      <c r="AM131" s="576"/>
      <c r="AN131" s="576"/>
      <c r="AO131" s="576"/>
      <c r="AP131" s="576"/>
      <c r="AQ131" s="576"/>
      <c r="AR131" s="576"/>
      <c r="AS131" s="576"/>
      <c r="AT131" s="576"/>
      <c r="AU131" s="576"/>
      <c r="AV131" s="576"/>
      <c r="AW131" s="576"/>
      <c r="AX131" s="576"/>
      <c r="AY131" s="576"/>
      <c r="AZ131" s="576"/>
      <c r="BA131" s="576"/>
      <c r="BB131" s="576"/>
      <c r="BC131" s="576"/>
      <c r="BD131" s="576"/>
      <c r="BE131" s="576"/>
      <c r="BF131" s="576"/>
      <c r="BG131" s="577"/>
    </row>
    <row r="132" spans="1:59" x14ac:dyDescent="0.2">
      <c r="A132" s="576"/>
      <c r="B132" s="98"/>
      <c r="C132" s="98"/>
      <c r="D132" s="98"/>
      <c r="E132" s="98"/>
      <c r="F132" s="98"/>
      <c r="G132" s="98"/>
      <c r="H132" s="98"/>
      <c r="I132" s="576"/>
      <c r="J132" s="576"/>
      <c r="K132" s="576"/>
      <c r="L132" s="576"/>
      <c r="M132" s="576"/>
      <c r="N132" s="576"/>
      <c r="O132" s="576"/>
      <c r="P132" s="576"/>
      <c r="Q132" s="576"/>
      <c r="R132" s="576"/>
      <c r="S132" s="576"/>
      <c r="T132" s="576"/>
      <c r="U132" s="576"/>
      <c r="V132" s="576"/>
      <c r="W132" s="576"/>
      <c r="X132" s="576"/>
      <c r="Y132" s="576"/>
      <c r="Z132" s="576"/>
      <c r="AA132" s="576"/>
      <c r="AB132" s="576"/>
      <c r="AC132" s="98"/>
      <c r="AD132" s="98"/>
      <c r="AE132" s="98"/>
      <c r="AF132" s="98"/>
      <c r="AG132" s="98"/>
      <c r="AH132" s="98"/>
      <c r="AI132" s="576"/>
      <c r="AJ132" s="576"/>
      <c r="AK132" s="576"/>
      <c r="AL132" s="576"/>
      <c r="AM132" s="576"/>
      <c r="AN132" s="576"/>
      <c r="AO132" s="576"/>
      <c r="AP132" s="576"/>
      <c r="AQ132" s="576"/>
      <c r="AR132" s="576"/>
      <c r="AS132" s="576"/>
      <c r="AT132" s="576"/>
      <c r="AU132" s="576"/>
      <c r="AV132" s="576"/>
      <c r="AW132" s="576"/>
      <c r="AX132" s="576"/>
      <c r="AY132" s="576"/>
      <c r="AZ132" s="576"/>
      <c r="BA132" s="576"/>
      <c r="BB132" s="576"/>
      <c r="BC132" s="576"/>
      <c r="BD132" s="576"/>
      <c r="BE132" s="576"/>
      <c r="BF132" s="576"/>
      <c r="BG132" s="577"/>
    </row>
    <row r="133" spans="1:59" x14ac:dyDescent="0.2">
      <c r="A133" s="576"/>
      <c r="B133" s="98"/>
      <c r="C133" s="98"/>
      <c r="D133" s="98"/>
      <c r="E133" s="98"/>
      <c r="F133" s="98"/>
      <c r="G133" s="98"/>
      <c r="H133" s="98"/>
      <c r="I133" s="576"/>
      <c r="J133" s="576"/>
      <c r="K133" s="576"/>
      <c r="L133" s="576"/>
      <c r="M133" s="576"/>
      <c r="N133" s="576"/>
      <c r="O133" s="576"/>
      <c r="P133" s="576"/>
      <c r="Q133" s="576"/>
      <c r="R133" s="576"/>
      <c r="S133" s="576"/>
      <c r="T133" s="576"/>
      <c r="U133" s="576"/>
      <c r="V133" s="576"/>
      <c r="W133" s="576"/>
      <c r="X133" s="576"/>
      <c r="Y133" s="576"/>
      <c r="Z133" s="576"/>
      <c r="AA133" s="576"/>
      <c r="AB133" s="576"/>
      <c r="AC133" s="98"/>
      <c r="AD133" s="98"/>
      <c r="AE133" s="98"/>
      <c r="AF133" s="98"/>
      <c r="AG133" s="98"/>
      <c r="AH133" s="98"/>
      <c r="AI133" s="576"/>
      <c r="AJ133" s="576"/>
      <c r="AK133" s="576"/>
      <c r="AL133" s="576"/>
      <c r="AM133" s="576"/>
      <c r="AN133" s="576"/>
      <c r="AO133" s="576"/>
      <c r="AP133" s="576"/>
      <c r="AQ133" s="576"/>
      <c r="AR133" s="576"/>
      <c r="AS133" s="576"/>
      <c r="AT133" s="576"/>
      <c r="AU133" s="576"/>
      <c r="AV133" s="576"/>
      <c r="AW133" s="576"/>
      <c r="AX133" s="576"/>
      <c r="AY133" s="576"/>
      <c r="AZ133" s="576"/>
      <c r="BA133" s="576"/>
      <c r="BB133" s="576"/>
      <c r="BC133" s="576"/>
      <c r="BD133" s="576"/>
      <c r="BE133" s="576"/>
      <c r="BF133" s="576"/>
      <c r="BG133" s="577"/>
    </row>
    <row r="134" spans="1:59" x14ac:dyDescent="0.2">
      <c r="A134" s="576"/>
      <c r="B134" s="98"/>
      <c r="C134" s="98"/>
      <c r="D134" s="98"/>
      <c r="E134" s="98"/>
      <c r="F134" s="98"/>
      <c r="G134" s="98"/>
      <c r="H134" s="98"/>
      <c r="I134" s="576"/>
      <c r="J134" s="576"/>
      <c r="K134" s="576"/>
      <c r="L134" s="576"/>
      <c r="M134" s="576"/>
      <c r="N134" s="576"/>
      <c r="O134" s="576"/>
      <c r="P134" s="576"/>
      <c r="Q134" s="576"/>
      <c r="R134" s="576"/>
      <c r="S134" s="576"/>
      <c r="T134" s="576"/>
      <c r="U134" s="576"/>
      <c r="V134" s="576"/>
      <c r="W134" s="576"/>
      <c r="X134" s="576"/>
      <c r="Y134" s="576"/>
      <c r="Z134" s="576"/>
      <c r="AA134" s="576"/>
      <c r="AB134" s="576"/>
      <c r="AC134" s="98"/>
      <c r="AD134" s="98"/>
      <c r="AE134" s="98"/>
      <c r="AF134" s="98"/>
      <c r="AG134" s="98"/>
      <c r="AH134" s="98"/>
      <c r="AI134" s="576"/>
      <c r="AJ134" s="576"/>
      <c r="AK134" s="576"/>
      <c r="AL134" s="576"/>
      <c r="AM134" s="576"/>
      <c r="AN134" s="576"/>
      <c r="AO134" s="576"/>
      <c r="AP134" s="576"/>
      <c r="AQ134" s="576"/>
      <c r="AR134" s="576"/>
      <c r="AS134" s="576"/>
      <c r="AT134" s="576"/>
      <c r="AU134" s="576"/>
      <c r="AV134" s="576"/>
      <c r="AW134" s="576"/>
      <c r="AX134" s="576"/>
      <c r="AY134" s="576"/>
      <c r="AZ134" s="576"/>
      <c r="BA134" s="576"/>
      <c r="BB134" s="576"/>
      <c r="BC134" s="576"/>
      <c r="BD134" s="576"/>
      <c r="BE134" s="576"/>
      <c r="BF134" s="576"/>
      <c r="BG134" s="577"/>
    </row>
    <row r="135" spans="1:59" x14ac:dyDescent="0.2">
      <c r="A135" s="576"/>
      <c r="B135" s="98"/>
      <c r="C135" s="98"/>
      <c r="D135" s="98"/>
      <c r="E135" s="98"/>
      <c r="F135" s="98"/>
      <c r="G135" s="98"/>
      <c r="H135" s="98"/>
      <c r="I135" s="576"/>
      <c r="J135" s="576"/>
      <c r="K135" s="576"/>
      <c r="L135" s="576"/>
      <c r="M135" s="576"/>
      <c r="N135" s="576"/>
      <c r="O135" s="576"/>
      <c r="P135" s="576"/>
      <c r="Q135" s="576"/>
      <c r="R135" s="576"/>
      <c r="S135" s="576"/>
      <c r="T135" s="576"/>
      <c r="U135" s="576"/>
      <c r="V135" s="576"/>
      <c r="W135" s="576"/>
      <c r="X135" s="576"/>
      <c r="Y135" s="576"/>
      <c r="Z135" s="576"/>
      <c r="AA135" s="576"/>
      <c r="AB135" s="576"/>
      <c r="AC135" s="98"/>
      <c r="AD135" s="98"/>
      <c r="AE135" s="98"/>
      <c r="AF135" s="98"/>
      <c r="AG135" s="98"/>
      <c r="AH135" s="98"/>
      <c r="AI135" s="576"/>
      <c r="AJ135" s="576"/>
      <c r="AK135" s="576"/>
      <c r="AL135" s="576"/>
      <c r="AM135" s="576"/>
      <c r="AN135" s="576"/>
      <c r="AO135" s="576"/>
      <c r="AP135" s="576"/>
      <c r="AQ135" s="576"/>
      <c r="AR135" s="576"/>
      <c r="AS135" s="576"/>
      <c r="AT135" s="576"/>
      <c r="AU135" s="576"/>
      <c r="AV135" s="576"/>
      <c r="AW135" s="576"/>
      <c r="AX135" s="576"/>
      <c r="AY135" s="576"/>
      <c r="AZ135" s="576"/>
      <c r="BA135" s="576"/>
      <c r="BB135" s="576"/>
      <c r="BC135" s="576"/>
      <c r="BD135" s="576"/>
      <c r="BE135" s="576"/>
      <c r="BF135" s="576"/>
      <c r="BG135" s="577"/>
    </row>
    <row r="136" spans="1:59" x14ac:dyDescent="0.2">
      <c r="A136" s="576"/>
      <c r="B136" s="98"/>
      <c r="C136" s="98"/>
      <c r="D136" s="98"/>
      <c r="E136" s="98"/>
      <c r="F136" s="98"/>
      <c r="G136" s="98"/>
      <c r="H136" s="98"/>
      <c r="I136" s="576"/>
      <c r="J136" s="576"/>
      <c r="K136" s="576"/>
      <c r="L136" s="576"/>
      <c r="M136" s="576"/>
      <c r="N136" s="576"/>
      <c r="O136" s="576"/>
      <c r="P136" s="576"/>
      <c r="Q136" s="576"/>
      <c r="R136" s="576"/>
      <c r="S136" s="576"/>
      <c r="T136" s="576"/>
      <c r="U136" s="576"/>
      <c r="V136" s="576"/>
      <c r="W136" s="576"/>
      <c r="X136" s="576"/>
      <c r="Y136" s="576"/>
      <c r="Z136" s="576"/>
      <c r="AA136" s="576"/>
      <c r="AB136" s="576"/>
      <c r="AC136" s="98"/>
      <c r="AD136" s="98"/>
      <c r="AE136" s="98"/>
      <c r="AF136" s="98"/>
      <c r="AG136" s="98"/>
      <c r="AH136" s="98"/>
      <c r="AI136" s="576"/>
      <c r="AJ136" s="576"/>
      <c r="AK136" s="576"/>
      <c r="AL136" s="576"/>
      <c r="AM136" s="576"/>
      <c r="AN136" s="576"/>
      <c r="AO136" s="576"/>
      <c r="AP136" s="576"/>
      <c r="AQ136" s="576"/>
      <c r="AR136" s="576"/>
      <c r="AS136" s="576"/>
      <c r="AT136" s="576"/>
      <c r="AU136" s="576"/>
      <c r="AV136" s="576"/>
      <c r="AW136" s="576"/>
      <c r="AX136" s="576"/>
      <c r="AY136" s="576"/>
      <c r="AZ136" s="576"/>
      <c r="BA136" s="576"/>
      <c r="BB136" s="576"/>
      <c r="BC136" s="576"/>
      <c r="BD136" s="576"/>
      <c r="BE136" s="576"/>
      <c r="BF136" s="576"/>
      <c r="BG136" s="577"/>
    </row>
    <row r="137" spans="1:59" x14ac:dyDescent="0.2">
      <c r="A137" s="576"/>
      <c r="B137" s="98"/>
      <c r="C137" s="98"/>
      <c r="D137" s="98"/>
      <c r="E137" s="98"/>
      <c r="F137" s="98"/>
      <c r="G137" s="98"/>
      <c r="H137" s="98"/>
      <c r="I137" s="576"/>
      <c r="J137" s="576"/>
      <c r="K137" s="576"/>
      <c r="L137" s="576"/>
      <c r="M137" s="576"/>
      <c r="N137" s="576"/>
      <c r="O137" s="576"/>
      <c r="P137" s="576"/>
      <c r="Q137" s="576"/>
      <c r="R137" s="576"/>
      <c r="S137" s="576"/>
      <c r="T137" s="576"/>
      <c r="U137" s="576"/>
      <c r="V137" s="576"/>
      <c r="W137" s="576"/>
      <c r="X137" s="576"/>
      <c r="Y137" s="576"/>
      <c r="Z137" s="576"/>
      <c r="AA137" s="576"/>
      <c r="AB137" s="576"/>
      <c r="AC137" s="98"/>
      <c r="AD137" s="98"/>
      <c r="AE137" s="98"/>
      <c r="AF137" s="98"/>
      <c r="AG137" s="98"/>
      <c r="AH137" s="98"/>
      <c r="AI137" s="576"/>
      <c r="AJ137" s="576"/>
      <c r="AK137" s="576"/>
      <c r="AL137" s="576"/>
      <c r="AM137" s="576"/>
      <c r="AN137" s="576"/>
      <c r="AO137" s="576"/>
      <c r="AP137" s="576"/>
      <c r="AQ137" s="576"/>
      <c r="AR137" s="576"/>
      <c r="AS137" s="576"/>
      <c r="AT137" s="576"/>
      <c r="AU137" s="576"/>
      <c r="AV137" s="576"/>
      <c r="AW137" s="576"/>
      <c r="AX137" s="576"/>
      <c r="AY137" s="576"/>
      <c r="AZ137" s="576"/>
      <c r="BA137" s="576"/>
      <c r="BB137" s="576"/>
      <c r="BC137" s="576"/>
      <c r="BD137" s="576"/>
      <c r="BE137" s="576"/>
      <c r="BF137" s="576"/>
      <c r="BG137" s="577"/>
    </row>
    <row r="138" spans="1:59" x14ac:dyDescent="0.2">
      <c r="A138" s="576"/>
      <c r="B138" s="98"/>
      <c r="C138" s="98"/>
      <c r="D138" s="98"/>
      <c r="E138" s="98"/>
      <c r="F138" s="98"/>
      <c r="G138" s="98"/>
      <c r="H138" s="98"/>
      <c r="I138" s="576"/>
      <c r="J138" s="576"/>
      <c r="K138" s="576"/>
      <c r="L138" s="576"/>
      <c r="M138" s="576"/>
      <c r="N138" s="576"/>
      <c r="O138" s="576"/>
      <c r="P138" s="576"/>
      <c r="Q138" s="576"/>
      <c r="R138" s="576"/>
      <c r="S138" s="576"/>
      <c r="T138" s="576"/>
      <c r="U138" s="576"/>
      <c r="V138" s="576"/>
      <c r="W138" s="576"/>
      <c r="X138" s="576"/>
      <c r="Y138" s="576"/>
      <c r="Z138" s="576"/>
      <c r="AA138" s="576"/>
      <c r="AB138" s="576"/>
      <c r="AC138" s="98"/>
      <c r="AD138" s="98"/>
      <c r="AE138" s="98"/>
      <c r="AF138" s="98"/>
      <c r="AG138" s="98"/>
      <c r="AH138" s="98"/>
      <c r="AI138" s="576"/>
      <c r="AJ138" s="576"/>
      <c r="AK138" s="576"/>
      <c r="AL138" s="576"/>
      <c r="AM138" s="576"/>
      <c r="AN138" s="576"/>
      <c r="AO138" s="576"/>
      <c r="AP138" s="576"/>
      <c r="AQ138" s="576"/>
      <c r="AR138" s="576"/>
      <c r="AS138" s="576"/>
      <c r="AT138" s="576"/>
      <c r="AU138" s="576"/>
      <c r="AV138" s="576"/>
      <c r="AW138" s="576"/>
      <c r="AX138" s="576"/>
      <c r="AY138" s="576"/>
      <c r="AZ138" s="576"/>
      <c r="BA138" s="576"/>
      <c r="BB138" s="576"/>
      <c r="BC138" s="576"/>
      <c r="BD138" s="576"/>
      <c r="BE138" s="576"/>
      <c r="BF138" s="576"/>
      <c r="BG138" s="577"/>
    </row>
    <row r="139" spans="1:59" x14ac:dyDescent="0.2">
      <c r="A139" s="576"/>
      <c r="B139" s="98"/>
      <c r="C139" s="98"/>
      <c r="D139" s="98"/>
      <c r="E139" s="98"/>
      <c r="F139" s="98"/>
      <c r="G139" s="98"/>
      <c r="H139" s="98"/>
      <c r="I139" s="576"/>
      <c r="J139" s="576"/>
      <c r="K139" s="576"/>
      <c r="L139" s="576"/>
      <c r="M139" s="576"/>
      <c r="N139" s="576"/>
      <c r="O139" s="576"/>
      <c r="P139" s="576"/>
      <c r="Q139" s="576"/>
      <c r="R139" s="576"/>
      <c r="S139" s="576"/>
      <c r="T139" s="576"/>
      <c r="U139" s="576"/>
      <c r="V139" s="576"/>
      <c r="W139" s="576"/>
      <c r="X139" s="576"/>
      <c r="Y139" s="576"/>
      <c r="Z139" s="576"/>
      <c r="AA139" s="576"/>
      <c r="AB139" s="576"/>
      <c r="AC139" s="98"/>
      <c r="AD139" s="98"/>
      <c r="AE139" s="98"/>
      <c r="AF139" s="98"/>
      <c r="AG139" s="98"/>
      <c r="AH139" s="98"/>
      <c r="AI139" s="576"/>
      <c r="AJ139" s="576"/>
      <c r="AK139" s="576"/>
      <c r="AL139" s="576"/>
      <c r="AM139" s="576"/>
      <c r="AN139" s="576"/>
      <c r="AO139" s="576"/>
      <c r="AP139" s="576"/>
      <c r="AQ139" s="576"/>
      <c r="AR139" s="576"/>
      <c r="AS139" s="576"/>
      <c r="AT139" s="576"/>
      <c r="AU139" s="576"/>
      <c r="AV139" s="576"/>
      <c r="AW139" s="576"/>
      <c r="AX139" s="576"/>
      <c r="AY139" s="576"/>
      <c r="AZ139" s="576"/>
      <c r="BA139" s="576"/>
      <c r="BB139" s="576"/>
      <c r="BC139" s="576"/>
      <c r="BD139" s="576"/>
      <c r="BE139" s="576"/>
      <c r="BF139" s="576"/>
      <c r="BG139" s="577"/>
    </row>
    <row r="140" spans="1:59" x14ac:dyDescent="0.2">
      <c r="A140" s="576"/>
      <c r="B140" s="98"/>
      <c r="C140" s="98"/>
      <c r="D140" s="98"/>
      <c r="E140" s="98"/>
      <c r="F140" s="98"/>
      <c r="G140" s="98"/>
      <c r="H140" s="98"/>
      <c r="I140" s="576"/>
      <c r="J140" s="576"/>
      <c r="K140" s="576"/>
      <c r="L140" s="576"/>
      <c r="M140" s="576"/>
      <c r="N140" s="576"/>
      <c r="O140" s="576"/>
      <c r="P140" s="576"/>
      <c r="Q140" s="576"/>
      <c r="R140" s="576"/>
      <c r="S140" s="576"/>
      <c r="T140" s="576"/>
      <c r="U140" s="576"/>
      <c r="V140" s="576"/>
      <c r="W140" s="576"/>
      <c r="X140" s="576"/>
      <c r="Y140" s="576"/>
      <c r="Z140" s="576"/>
      <c r="AA140" s="576"/>
      <c r="AB140" s="576"/>
      <c r="AC140" s="98"/>
      <c r="AD140" s="98"/>
      <c r="AE140" s="98"/>
      <c r="AF140" s="98"/>
      <c r="AG140" s="98"/>
      <c r="AH140" s="98"/>
      <c r="AI140" s="576"/>
      <c r="AJ140" s="576"/>
      <c r="AK140" s="576"/>
      <c r="AL140" s="576"/>
      <c r="AM140" s="576"/>
      <c r="AN140" s="576"/>
      <c r="AO140" s="576"/>
      <c r="AP140" s="576"/>
      <c r="AQ140" s="576"/>
      <c r="AR140" s="576"/>
      <c r="AS140" s="576"/>
      <c r="AT140" s="576"/>
      <c r="AU140" s="576"/>
      <c r="AV140" s="576"/>
      <c r="AW140" s="576"/>
      <c r="AX140" s="576"/>
      <c r="AY140" s="576"/>
      <c r="AZ140" s="576"/>
      <c r="BA140" s="576"/>
      <c r="BB140" s="576"/>
      <c r="BC140" s="576"/>
      <c r="BD140" s="576"/>
      <c r="BE140" s="576"/>
      <c r="BF140" s="576"/>
      <c r="BG140" s="577"/>
    </row>
    <row r="141" spans="1:59" x14ac:dyDescent="0.2">
      <c r="A141" s="576"/>
      <c r="B141" s="98"/>
      <c r="C141" s="98"/>
      <c r="D141" s="98"/>
      <c r="E141" s="98"/>
      <c r="F141" s="98"/>
      <c r="G141" s="98"/>
      <c r="H141" s="98"/>
      <c r="I141" s="576"/>
      <c r="J141" s="576"/>
      <c r="K141" s="576"/>
      <c r="L141" s="576"/>
      <c r="M141" s="576"/>
      <c r="N141" s="576"/>
      <c r="O141" s="576"/>
      <c r="P141" s="576"/>
      <c r="Q141" s="576"/>
      <c r="R141" s="576"/>
      <c r="S141" s="576"/>
      <c r="T141" s="576"/>
      <c r="U141" s="576"/>
      <c r="V141" s="576"/>
      <c r="W141" s="576"/>
      <c r="X141" s="576"/>
      <c r="Y141" s="576"/>
      <c r="Z141" s="576"/>
      <c r="AA141" s="576"/>
      <c r="AB141" s="576"/>
      <c r="AC141" s="98"/>
      <c r="AD141" s="98"/>
      <c r="AE141" s="98"/>
      <c r="AF141" s="98"/>
      <c r="AG141" s="98"/>
      <c r="AH141" s="98"/>
      <c r="AI141" s="576"/>
      <c r="AJ141" s="576"/>
      <c r="AK141" s="576"/>
      <c r="AL141" s="576"/>
      <c r="AM141" s="576"/>
      <c r="AN141" s="576"/>
      <c r="AO141" s="576"/>
      <c r="AP141" s="576"/>
      <c r="AQ141" s="576"/>
      <c r="AR141" s="576"/>
      <c r="AS141" s="576"/>
      <c r="AT141" s="576"/>
      <c r="AU141" s="576"/>
      <c r="AV141" s="576"/>
      <c r="AW141" s="576"/>
      <c r="AX141" s="576"/>
      <c r="AY141" s="576"/>
      <c r="AZ141" s="576"/>
      <c r="BA141" s="576"/>
      <c r="BB141" s="576"/>
      <c r="BC141" s="576"/>
      <c r="BD141" s="576"/>
      <c r="BE141" s="576"/>
      <c r="BF141" s="576"/>
      <c r="BG141" s="577"/>
    </row>
    <row r="142" spans="1:59" x14ac:dyDescent="0.2">
      <c r="A142" s="576"/>
      <c r="B142" s="98"/>
      <c r="C142" s="98"/>
      <c r="D142" s="98"/>
      <c r="E142" s="98"/>
      <c r="F142" s="98"/>
      <c r="G142" s="98"/>
      <c r="H142" s="98"/>
      <c r="I142" s="576"/>
      <c r="J142" s="576"/>
      <c r="K142" s="576"/>
      <c r="L142" s="576"/>
      <c r="M142" s="576"/>
      <c r="N142" s="576"/>
      <c r="O142" s="576"/>
      <c r="P142" s="576"/>
      <c r="Q142" s="576"/>
      <c r="R142" s="576"/>
      <c r="S142" s="576"/>
      <c r="T142" s="576"/>
      <c r="U142" s="576"/>
      <c r="V142" s="576"/>
      <c r="W142" s="576"/>
      <c r="X142" s="576"/>
      <c r="Y142" s="576"/>
      <c r="Z142" s="576"/>
      <c r="AA142" s="576"/>
      <c r="AB142" s="576"/>
      <c r="AC142" s="98"/>
      <c r="AD142" s="98"/>
      <c r="AE142" s="98"/>
      <c r="AF142" s="98"/>
      <c r="AG142" s="98"/>
      <c r="AH142" s="98"/>
      <c r="AI142" s="576"/>
      <c r="AJ142" s="576"/>
      <c r="AK142" s="576"/>
      <c r="AL142" s="576"/>
      <c r="AM142" s="576"/>
      <c r="AN142" s="576"/>
      <c r="AO142" s="576"/>
      <c r="AP142" s="576"/>
      <c r="AQ142" s="576"/>
      <c r="AR142" s="576"/>
      <c r="AS142" s="576"/>
      <c r="AT142" s="576"/>
      <c r="AU142" s="576"/>
      <c r="AV142" s="576"/>
      <c r="AW142" s="576"/>
      <c r="AX142" s="576"/>
      <c r="AY142" s="576"/>
      <c r="AZ142" s="576"/>
      <c r="BA142" s="576"/>
      <c r="BB142" s="576"/>
      <c r="BC142" s="576"/>
      <c r="BD142" s="576"/>
      <c r="BE142" s="576"/>
      <c r="BF142" s="576"/>
      <c r="BG142" s="577"/>
    </row>
    <row r="143" spans="1:59" x14ac:dyDescent="0.2">
      <c r="A143" s="576"/>
      <c r="B143" s="98"/>
      <c r="C143" s="98"/>
      <c r="D143" s="98"/>
      <c r="E143" s="98"/>
      <c r="F143" s="98"/>
      <c r="G143" s="98"/>
      <c r="H143" s="98"/>
      <c r="I143" s="576"/>
      <c r="J143" s="576"/>
      <c r="K143" s="576"/>
      <c r="L143" s="576"/>
      <c r="M143" s="576"/>
      <c r="N143" s="576"/>
      <c r="O143" s="576"/>
      <c r="P143" s="576"/>
      <c r="Q143" s="576"/>
      <c r="R143" s="576"/>
      <c r="S143" s="576"/>
      <c r="T143" s="576"/>
      <c r="U143" s="576"/>
      <c r="V143" s="576"/>
      <c r="W143" s="576"/>
      <c r="X143" s="576"/>
      <c r="Y143" s="576"/>
      <c r="Z143" s="576"/>
      <c r="AA143" s="576"/>
      <c r="AB143" s="576"/>
      <c r="AC143" s="98"/>
      <c r="AD143" s="98"/>
      <c r="AE143" s="98"/>
      <c r="AF143" s="98"/>
      <c r="AG143" s="98"/>
      <c r="AH143" s="98"/>
      <c r="AI143" s="576"/>
      <c r="AJ143" s="576"/>
      <c r="AK143" s="576"/>
      <c r="AL143" s="576"/>
      <c r="AM143" s="576"/>
      <c r="AN143" s="576"/>
      <c r="AO143" s="576"/>
      <c r="AP143" s="576"/>
      <c r="AQ143" s="576"/>
      <c r="AR143" s="576"/>
      <c r="AS143" s="576"/>
      <c r="AT143" s="576"/>
      <c r="AU143" s="576"/>
      <c r="AV143" s="576"/>
      <c r="AW143" s="576"/>
      <c r="AX143" s="576"/>
      <c r="AY143" s="576"/>
      <c r="AZ143" s="576"/>
      <c r="BA143" s="576"/>
      <c r="BB143" s="576"/>
      <c r="BC143" s="576"/>
      <c r="BD143" s="576"/>
      <c r="BE143" s="576"/>
      <c r="BF143" s="576"/>
      <c r="BG143" s="577"/>
    </row>
    <row r="144" spans="1:59" x14ac:dyDescent="0.2">
      <c r="A144" s="576"/>
      <c r="B144" s="98"/>
      <c r="C144" s="98"/>
      <c r="D144" s="98"/>
      <c r="E144" s="98"/>
      <c r="F144" s="98"/>
      <c r="G144" s="98"/>
      <c r="H144" s="98"/>
      <c r="I144" s="576"/>
      <c r="J144" s="576"/>
      <c r="K144" s="576"/>
      <c r="L144" s="576"/>
      <c r="M144" s="576"/>
      <c r="N144" s="576"/>
      <c r="O144" s="576"/>
      <c r="P144" s="576"/>
      <c r="Q144" s="576"/>
      <c r="R144" s="576"/>
      <c r="S144" s="576"/>
      <c r="T144" s="576"/>
      <c r="U144" s="576"/>
      <c r="V144" s="576"/>
      <c r="W144" s="576"/>
      <c r="X144" s="576"/>
      <c r="Y144" s="576"/>
      <c r="Z144" s="576"/>
      <c r="AA144" s="576"/>
      <c r="AB144" s="576"/>
      <c r="AC144" s="98"/>
      <c r="AD144" s="98"/>
      <c r="AE144" s="98"/>
      <c r="AF144" s="98"/>
      <c r="AG144" s="98"/>
      <c r="AH144" s="98"/>
      <c r="AI144" s="576"/>
      <c r="AJ144" s="576"/>
      <c r="AK144" s="576"/>
      <c r="AL144" s="576"/>
      <c r="AM144" s="576"/>
      <c r="AN144" s="576"/>
      <c r="AO144" s="576"/>
      <c r="AP144" s="576"/>
      <c r="AQ144" s="576"/>
      <c r="AR144" s="576"/>
      <c r="AS144" s="576"/>
      <c r="AT144" s="576"/>
      <c r="AU144" s="576"/>
      <c r="AV144" s="576"/>
      <c r="AW144" s="576"/>
      <c r="AX144" s="576"/>
      <c r="AY144" s="576"/>
      <c r="AZ144" s="576"/>
      <c r="BA144" s="576"/>
      <c r="BB144" s="576"/>
      <c r="BC144" s="576"/>
      <c r="BD144" s="576"/>
      <c r="BE144" s="576"/>
      <c r="BF144" s="576"/>
      <c r="BG144" s="577"/>
    </row>
    <row r="145" spans="1:59" x14ac:dyDescent="0.2">
      <c r="A145" s="576"/>
      <c r="B145" s="98"/>
      <c r="C145" s="98"/>
      <c r="D145" s="98"/>
      <c r="E145" s="98"/>
      <c r="F145" s="98"/>
      <c r="G145" s="98"/>
      <c r="H145" s="98"/>
      <c r="I145" s="576"/>
      <c r="J145" s="576"/>
      <c r="K145" s="576"/>
      <c r="L145" s="576"/>
      <c r="M145" s="576"/>
      <c r="N145" s="576"/>
      <c r="O145" s="576"/>
      <c r="P145" s="576"/>
      <c r="Q145" s="576"/>
      <c r="R145" s="576"/>
      <c r="S145" s="576"/>
      <c r="T145" s="576"/>
      <c r="U145" s="576"/>
      <c r="V145" s="576"/>
      <c r="W145" s="576"/>
      <c r="X145" s="576"/>
      <c r="Y145" s="576"/>
      <c r="Z145" s="576"/>
      <c r="AA145" s="576"/>
      <c r="AB145" s="576"/>
      <c r="AC145" s="98"/>
      <c r="AD145" s="98"/>
      <c r="AE145" s="98"/>
      <c r="AF145" s="98"/>
      <c r="AG145" s="98"/>
      <c r="AH145" s="98"/>
      <c r="AI145" s="576"/>
      <c r="AJ145" s="576"/>
      <c r="AK145" s="576"/>
      <c r="AL145" s="576"/>
      <c r="AM145" s="576"/>
      <c r="AN145" s="576"/>
      <c r="AO145" s="576"/>
      <c r="AP145" s="576"/>
      <c r="AQ145" s="576"/>
      <c r="AR145" s="576"/>
      <c r="AS145" s="576"/>
      <c r="AT145" s="576"/>
      <c r="AU145" s="576"/>
      <c r="AV145" s="576"/>
      <c r="AW145" s="576"/>
      <c r="AX145" s="576"/>
      <c r="AY145" s="576"/>
      <c r="AZ145" s="576"/>
      <c r="BA145" s="576"/>
      <c r="BB145" s="576"/>
      <c r="BC145" s="576"/>
      <c r="BD145" s="576"/>
      <c r="BE145" s="576"/>
      <c r="BF145" s="576"/>
      <c r="BG145" s="577"/>
    </row>
    <row r="146" spans="1:59" x14ac:dyDescent="0.2">
      <c r="A146" s="576"/>
      <c r="B146" s="98"/>
      <c r="C146" s="98"/>
      <c r="D146" s="98"/>
      <c r="E146" s="98"/>
      <c r="F146" s="98"/>
      <c r="G146" s="98"/>
      <c r="H146" s="98"/>
      <c r="I146" s="576"/>
      <c r="J146" s="576"/>
      <c r="K146" s="576"/>
      <c r="L146" s="576"/>
      <c r="M146" s="576"/>
      <c r="N146" s="576"/>
      <c r="O146" s="576"/>
      <c r="P146" s="576"/>
      <c r="Q146" s="576"/>
      <c r="R146" s="576"/>
      <c r="S146" s="576"/>
      <c r="T146" s="576"/>
      <c r="U146" s="576"/>
      <c r="V146" s="576"/>
      <c r="W146" s="576"/>
      <c r="X146" s="576"/>
      <c r="Y146" s="576"/>
      <c r="Z146" s="576"/>
      <c r="AA146" s="576"/>
      <c r="AB146" s="576"/>
      <c r="AC146" s="98"/>
      <c r="AD146" s="98"/>
      <c r="AE146" s="98"/>
      <c r="AF146" s="98"/>
      <c r="AG146" s="98"/>
      <c r="AH146" s="98"/>
      <c r="AI146" s="576"/>
      <c r="AJ146" s="576"/>
      <c r="AK146" s="576"/>
      <c r="AL146" s="576"/>
      <c r="AM146" s="576"/>
      <c r="AN146" s="576"/>
      <c r="AO146" s="576"/>
      <c r="AP146" s="576"/>
      <c r="AQ146" s="576"/>
      <c r="AR146" s="576"/>
      <c r="AS146" s="576"/>
      <c r="AT146" s="576"/>
      <c r="AU146" s="576"/>
      <c r="AV146" s="576"/>
      <c r="AW146" s="576"/>
      <c r="AX146" s="576"/>
      <c r="AY146" s="576"/>
      <c r="AZ146" s="576"/>
      <c r="BA146" s="576"/>
      <c r="BB146" s="576"/>
      <c r="BC146" s="576"/>
      <c r="BD146" s="576"/>
      <c r="BE146" s="576"/>
      <c r="BF146" s="576"/>
      <c r="BG146" s="577"/>
    </row>
    <row r="147" spans="1:59" x14ac:dyDescent="0.2">
      <c r="A147" s="576"/>
      <c r="B147" s="98"/>
      <c r="C147" s="98"/>
      <c r="D147" s="98"/>
      <c r="E147" s="98"/>
      <c r="F147" s="98"/>
      <c r="G147" s="98"/>
      <c r="H147" s="98"/>
      <c r="I147" s="576"/>
      <c r="J147" s="576"/>
      <c r="K147" s="576"/>
      <c r="L147" s="576"/>
      <c r="M147" s="576"/>
      <c r="N147" s="576"/>
      <c r="O147" s="576"/>
      <c r="P147" s="576"/>
      <c r="Q147" s="576"/>
      <c r="R147" s="576"/>
      <c r="S147" s="576"/>
      <c r="T147" s="576"/>
      <c r="U147" s="576"/>
      <c r="V147" s="576"/>
      <c r="W147" s="576"/>
      <c r="X147" s="576"/>
      <c r="Y147" s="576"/>
      <c r="Z147" s="576"/>
      <c r="AA147" s="576"/>
      <c r="AB147" s="576"/>
      <c r="AC147" s="98"/>
      <c r="AD147" s="98"/>
      <c r="AE147" s="98"/>
      <c r="AF147" s="98"/>
      <c r="AG147" s="98"/>
      <c r="AH147" s="98"/>
      <c r="AI147" s="576"/>
      <c r="AJ147" s="576"/>
      <c r="AK147" s="576"/>
      <c r="AL147" s="576"/>
      <c r="AM147" s="576"/>
      <c r="AN147" s="576"/>
      <c r="AO147" s="576"/>
      <c r="AP147" s="576"/>
      <c r="AQ147" s="576"/>
      <c r="AR147" s="576"/>
      <c r="AS147" s="576"/>
      <c r="AT147" s="576"/>
      <c r="AU147" s="576"/>
      <c r="AV147" s="576"/>
      <c r="AW147" s="576"/>
      <c r="AX147" s="576"/>
      <c r="AY147" s="576"/>
      <c r="AZ147" s="576"/>
      <c r="BA147" s="576"/>
      <c r="BB147" s="576"/>
      <c r="BC147" s="576"/>
      <c r="BD147" s="576"/>
      <c r="BE147" s="576"/>
      <c r="BF147" s="576"/>
      <c r="BG147" s="577"/>
    </row>
    <row r="148" spans="1:59" x14ac:dyDescent="0.2">
      <c r="A148" s="576"/>
      <c r="B148" s="98"/>
      <c r="C148" s="98"/>
      <c r="D148" s="98"/>
      <c r="E148" s="98"/>
      <c r="F148" s="98"/>
      <c r="G148" s="98"/>
      <c r="H148" s="98"/>
      <c r="I148" s="576"/>
      <c r="J148" s="576"/>
      <c r="K148" s="576"/>
      <c r="L148" s="576"/>
      <c r="M148" s="576"/>
      <c r="N148" s="576"/>
      <c r="O148" s="576"/>
      <c r="P148" s="576"/>
      <c r="Q148" s="576"/>
      <c r="R148" s="576"/>
      <c r="S148" s="576"/>
      <c r="T148" s="576"/>
      <c r="U148" s="576"/>
      <c r="V148" s="576"/>
      <c r="W148" s="576"/>
      <c r="X148" s="576"/>
      <c r="Y148" s="576"/>
      <c r="Z148" s="576"/>
      <c r="AA148" s="576"/>
      <c r="AB148" s="576"/>
      <c r="AC148" s="98"/>
      <c r="AD148" s="98"/>
      <c r="AE148" s="98"/>
      <c r="AF148" s="98"/>
      <c r="AG148" s="98"/>
      <c r="AH148" s="98"/>
      <c r="AI148" s="576"/>
      <c r="AJ148" s="576"/>
      <c r="AK148" s="576"/>
      <c r="AL148" s="576"/>
      <c r="AM148" s="576"/>
      <c r="AN148" s="576"/>
      <c r="AO148" s="576"/>
      <c r="AP148" s="576"/>
      <c r="AQ148" s="576"/>
      <c r="AR148" s="576"/>
      <c r="AS148" s="576"/>
      <c r="AT148" s="576"/>
      <c r="AU148" s="576"/>
      <c r="AV148" s="576"/>
      <c r="AW148" s="576"/>
      <c r="AX148" s="576"/>
      <c r="AY148" s="576"/>
      <c r="AZ148" s="576"/>
      <c r="BA148" s="576"/>
      <c r="BB148" s="576"/>
      <c r="BC148" s="576"/>
      <c r="BD148" s="576"/>
      <c r="BE148" s="576"/>
      <c r="BF148" s="576"/>
      <c r="BG148" s="577"/>
    </row>
    <row r="149" spans="1:59" x14ac:dyDescent="0.2">
      <c r="A149" s="576"/>
      <c r="B149" s="98"/>
      <c r="C149" s="98"/>
      <c r="D149" s="98"/>
      <c r="E149" s="98"/>
      <c r="F149" s="98"/>
      <c r="G149" s="98"/>
      <c r="H149" s="98"/>
      <c r="I149" s="576"/>
      <c r="J149" s="576"/>
      <c r="K149" s="576"/>
      <c r="L149" s="576"/>
      <c r="M149" s="576"/>
      <c r="N149" s="576"/>
      <c r="O149" s="576"/>
      <c r="P149" s="576"/>
      <c r="Q149" s="576"/>
      <c r="R149" s="576"/>
      <c r="S149" s="576"/>
      <c r="T149" s="576"/>
      <c r="U149" s="576"/>
      <c r="V149" s="576"/>
      <c r="W149" s="576"/>
      <c r="X149" s="576"/>
      <c r="Y149" s="576"/>
      <c r="Z149" s="576"/>
      <c r="AA149" s="576"/>
      <c r="AB149" s="576"/>
      <c r="AC149" s="98"/>
      <c r="AD149" s="98"/>
      <c r="AE149" s="98"/>
      <c r="AF149" s="98"/>
      <c r="AG149" s="98"/>
      <c r="AH149" s="98"/>
      <c r="AI149" s="576"/>
      <c r="AJ149" s="576"/>
      <c r="AK149" s="576"/>
      <c r="AL149" s="576"/>
      <c r="AM149" s="576"/>
      <c r="AN149" s="576"/>
      <c r="AO149" s="576"/>
      <c r="AP149" s="576"/>
      <c r="AQ149" s="576"/>
      <c r="AR149" s="576"/>
      <c r="AS149" s="576"/>
      <c r="AT149" s="576"/>
      <c r="AU149" s="576"/>
      <c r="AV149" s="576"/>
      <c r="AW149" s="576"/>
      <c r="AX149" s="576"/>
      <c r="AY149" s="576"/>
      <c r="AZ149" s="576"/>
      <c r="BA149" s="576"/>
      <c r="BB149" s="576"/>
      <c r="BC149" s="576"/>
      <c r="BD149" s="576"/>
      <c r="BE149" s="576"/>
      <c r="BF149" s="576"/>
      <c r="BG149" s="577"/>
    </row>
    <row r="150" spans="1:59" x14ac:dyDescent="0.2">
      <c r="A150" s="576"/>
      <c r="B150" s="98"/>
      <c r="C150" s="98"/>
      <c r="D150" s="98"/>
      <c r="E150" s="98"/>
      <c r="F150" s="98"/>
      <c r="G150" s="98"/>
      <c r="H150" s="98"/>
      <c r="I150" s="576"/>
      <c r="J150" s="576"/>
      <c r="K150" s="576"/>
      <c r="L150" s="576"/>
      <c r="M150" s="576"/>
      <c r="N150" s="576"/>
      <c r="O150" s="576"/>
      <c r="P150" s="576"/>
      <c r="Q150" s="576"/>
      <c r="R150" s="576"/>
      <c r="S150" s="576"/>
      <c r="T150" s="576"/>
      <c r="U150" s="576"/>
      <c r="V150" s="576"/>
      <c r="W150" s="576"/>
      <c r="X150" s="576"/>
      <c r="Y150" s="576"/>
      <c r="Z150" s="576"/>
      <c r="AA150" s="576"/>
      <c r="AB150" s="576"/>
      <c r="AC150" s="98"/>
      <c r="AD150" s="98"/>
      <c r="AE150" s="98"/>
      <c r="AF150" s="98"/>
      <c r="AG150" s="98"/>
      <c r="AH150" s="98"/>
      <c r="AI150" s="576"/>
      <c r="AJ150" s="576"/>
      <c r="AK150" s="576"/>
      <c r="AL150" s="576"/>
      <c r="AM150" s="576"/>
      <c r="AN150" s="576"/>
      <c r="AO150" s="576"/>
      <c r="AP150" s="576"/>
      <c r="AQ150" s="576"/>
      <c r="AR150" s="576"/>
      <c r="AS150" s="576"/>
      <c r="AT150" s="576"/>
      <c r="AU150" s="576"/>
      <c r="AV150" s="576"/>
      <c r="AW150" s="576"/>
      <c r="AX150" s="576"/>
      <c r="AY150" s="576"/>
      <c r="AZ150" s="576"/>
      <c r="BA150" s="576"/>
      <c r="BB150" s="576"/>
      <c r="BC150" s="576"/>
      <c r="BD150" s="576"/>
      <c r="BE150" s="576"/>
      <c r="BF150" s="576"/>
      <c r="BG150" s="577"/>
    </row>
    <row r="151" spans="1:59" x14ac:dyDescent="0.2">
      <c r="A151" s="576"/>
      <c r="B151" s="98"/>
      <c r="C151" s="98"/>
      <c r="D151" s="98"/>
      <c r="E151" s="98"/>
      <c r="F151" s="98"/>
      <c r="G151" s="98"/>
      <c r="H151" s="98"/>
      <c r="I151" s="576"/>
      <c r="J151" s="576"/>
      <c r="K151" s="576"/>
      <c r="L151" s="576"/>
      <c r="M151" s="576"/>
      <c r="N151" s="576"/>
      <c r="O151" s="576"/>
      <c r="P151" s="576"/>
      <c r="Q151" s="576"/>
      <c r="R151" s="576"/>
      <c r="S151" s="576"/>
      <c r="T151" s="576"/>
      <c r="U151" s="576"/>
      <c r="V151" s="576"/>
      <c r="W151" s="576"/>
      <c r="X151" s="576"/>
      <c r="Y151" s="576"/>
      <c r="Z151" s="576"/>
      <c r="AA151" s="576"/>
      <c r="AB151" s="576"/>
      <c r="AC151" s="98"/>
      <c r="AD151" s="98"/>
      <c r="AE151" s="98"/>
      <c r="AF151" s="98"/>
      <c r="AG151" s="98"/>
      <c r="AH151" s="98"/>
      <c r="AI151" s="576"/>
      <c r="AJ151" s="576"/>
      <c r="AK151" s="576"/>
      <c r="AL151" s="576"/>
      <c r="AM151" s="576"/>
      <c r="AN151" s="576"/>
      <c r="AO151" s="576"/>
      <c r="AP151" s="576"/>
      <c r="AQ151" s="576"/>
      <c r="AR151" s="576"/>
      <c r="AS151" s="576"/>
      <c r="AT151" s="576"/>
      <c r="AU151" s="576"/>
      <c r="AV151" s="576"/>
      <c r="AW151" s="576"/>
      <c r="AX151" s="576"/>
      <c r="AY151" s="576"/>
      <c r="AZ151" s="576"/>
      <c r="BA151" s="576"/>
      <c r="BB151" s="576"/>
      <c r="BC151" s="576"/>
      <c r="BD151" s="576"/>
      <c r="BE151" s="576"/>
      <c r="BF151" s="576"/>
      <c r="BG151" s="577"/>
    </row>
    <row r="152" spans="1:59" x14ac:dyDescent="0.2">
      <c r="A152" s="576"/>
      <c r="B152" s="98"/>
      <c r="C152" s="98"/>
      <c r="D152" s="98"/>
      <c r="E152" s="98"/>
      <c r="F152" s="98"/>
      <c r="G152" s="98"/>
      <c r="H152" s="98"/>
      <c r="I152" s="576"/>
      <c r="J152" s="576"/>
      <c r="K152" s="576"/>
      <c r="L152" s="576"/>
      <c r="M152" s="576"/>
      <c r="N152" s="576"/>
      <c r="O152" s="576"/>
      <c r="P152" s="576"/>
      <c r="Q152" s="576"/>
      <c r="R152" s="576"/>
      <c r="S152" s="576"/>
      <c r="T152" s="576"/>
      <c r="U152" s="576"/>
      <c r="V152" s="576"/>
      <c r="W152" s="576"/>
      <c r="X152" s="576"/>
      <c r="Y152" s="576"/>
      <c r="Z152" s="576"/>
      <c r="AA152" s="576"/>
      <c r="AB152" s="576"/>
      <c r="AC152" s="98"/>
      <c r="AD152" s="98"/>
      <c r="AE152" s="98"/>
      <c r="AF152" s="98"/>
      <c r="AG152" s="98"/>
      <c r="AH152" s="98"/>
      <c r="AI152" s="576"/>
      <c r="AJ152" s="576"/>
      <c r="AK152" s="576"/>
      <c r="AL152" s="576"/>
      <c r="AM152" s="576"/>
      <c r="AN152" s="576"/>
      <c r="AO152" s="576"/>
      <c r="AP152" s="576"/>
      <c r="AQ152" s="576"/>
      <c r="AR152" s="576"/>
      <c r="AS152" s="576"/>
      <c r="AT152" s="576"/>
      <c r="AU152" s="576"/>
      <c r="AV152" s="576"/>
      <c r="AW152" s="576"/>
      <c r="AX152" s="576"/>
      <c r="AY152" s="576"/>
      <c r="AZ152" s="576"/>
      <c r="BA152" s="576"/>
      <c r="BB152" s="576"/>
      <c r="BC152" s="576"/>
      <c r="BD152" s="576"/>
      <c r="BE152" s="576"/>
      <c r="BF152" s="576"/>
      <c r="BG152" s="577"/>
    </row>
    <row r="153" spans="1:59" x14ac:dyDescent="0.2">
      <c r="A153" s="576"/>
      <c r="B153" s="98"/>
      <c r="C153" s="98"/>
      <c r="D153" s="98"/>
      <c r="E153" s="98"/>
      <c r="F153" s="98"/>
      <c r="G153" s="98"/>
      <c r="H153" s="98"/>
      <c r="I153" s="576"/>
      <c r="J153" s="576"/>
      <c r="K153" s="576"/>
      <c r="L153" s="576"/>
      <c r="M153" s="576"/>
      <c r="N153" s="576"/>
      <c r="O153" s="576"/>
      <c r="P153" s="576"/>
      <c r="Q153" s="576"/>
      <c r="R153" s="576"/>
      <c r="S153" s="576"/>
      <c r="T153" s="576"/>
      <c r="U153" s="576"/>
      <c r="V153" s="576"/>
      <c r="W153" s="576"/>
      <c r="X153" s="576"/>
      <c r="Y153" s="576"/>
      <c r="Z153" s="576"/>
      <c r="AA153" s="576"/>
      <c r="AB153" s="576"/>
      <c r="AC153" s="98"/>
      <c r="AD153" s="98"/>
      <c r="AE153" s="98"/>
      <c r="AF153" s="98"/>
      <c r="AG153" s="98"/>
      <c r="AH153" s="98"/>
      <c r="AI153" s="576"/>
      <c r="AJ153" s="576"/>
      <c r="AK153" s="576"/>
      <c r="AL153" s="576"/>
      <c r="AM153" s="576"/>
      <c r="AN153" s="576"/>
      <c r="AO153" s="576"/>
      <c r="AP153" s="576"/>
      <c r="AQ153" s="576"/>
      <c r="AR153" s="576"/>
      <c r="AS153" s="576"/>
      <c r="AT153" s="576"/>
      <c r="AU153" s="576"/>
      <c r="AV153" s="576"/>
      <c r="AW153" s="576"/>
      <c r="AX153" s="576"/>
      <c r="AY153" s="576"/>
      <c r="AZ153" s="576"/>
      <c r="BA153" s="576"/>
      <c r="BB153" s="576"/>
      <c r="BC153" s="576"/>
      <c r="BD153" s="576"/>
      <c r="BE153" s="576"/>
      <c r="BF153" s="576"/>
      <c r="BG153" s="577"/>
    </row>
    <row r="154" spans="1:59" x14ac:dyDescent="0.2">
      <c r="A154" s="576"/>
      <c r="B154" s="98"/>
      <c r="C154" s="98"/>
      <c r="D154" s="98"/>
      <c r="E154" s="98"/>
      <c r="F154" s="98"/>
      <c r="G154" s="98"/>
      <c r="H154" s="98"/>
      <c r="I154" s="576"/>
      <c r="J154" s="576"/>
      <c r="K154" s="576"/>
      <c r="L154" s="576"/>
      <c r="M154" s="576"/>
      <c r="N154" s="576"/>
      <c r="O154" s="576"/>
      <c r="P154" s="576"/>
      <c r="Q154" s="576"/>
      <c r="R154" s="576"/>
      <c r="S154" s="576"/>
      <c r="T154" s="576"/>
      <c r="U154" s="576"/>
      <c r="V154" s="576"/>
      <c r="W154" s="576"/>
      <c r="X154" s="576"/>
      <c r="Y154" s="576"/>
      <c r="Z154" s="576"/>
      <c r="AA154" s="576"/>
      <c r="AB154" s="576"/>
      <c r="AC154" s="98"/>
      <c r="AD154" s="98"/>
      <c r="AE154" s="98"/>
      <c r="AF154" s="98"/>
      <c r="AG154" s="98"/>
      <c r="AH154" s="98"/>
      <c r="AI154" s="576"/>
      <c r="AJ154" s="576"/>
      <c r="AK154" s="576"/>
      <c r="AL154" s="576"/>
      <c r="AM154" s="576"/>
      <c r="AN154" s="576"/>
      <c r="AO154" s="576"/>
      <c r="AP154" s="576"/>
      <c r="AQ154" s="576"/>
      <c r="AR154" s="576"/>
      <c r="AS154" s="576"/>
      <c r="AT154" s="576"/>
      <c r="AU154" s="576"/>
      <c r="AV154" s="576"/>
      <c r="AW154" s="576"/>
      <c r="AX154" s="576"/>
      <c r="AY154" s="576"/>
      <c r="AZ154" s="576"/>
      <c r="BA154" s="576"/>
      <c r="BB154" s="576"/>
      <c r="BC154" s="576"/>
      <c r="BD154" s="576"/>
      <c r="BE154" s="576"/>
      <c r="BF154" s="576"/>
      <c r="BG154" s="577"/>
    </row>
    <row r="155" spans="1:59" x14ac:dyDescent="0.2">
      <c r="A155" s="576"/>
      <c r="B155" s="98"/>
      <c r="C155" s="98"/>
      <c r="D155" s="98"/>
      <c r="E155" s="98"/>
      <c r="F155" s="98"/>
      <c r="G155" s="98"/>
      <c r="H155" s="98"/>
      <c r="I155" s="576"/>
      <c r="J155" s="576"/>
      <c r="K155" s="576"/>
      <c r="L155" s="576"/>
      <c r="M155" s="576"/>
      <c r="N155" s="576"/>
      <c r="O155" s="576"/>
      <c r="P155" s="576"/>
      <c r="Q155" s="576"/>
      <c r="R155" s="576"/>
      <c r="S155" s="576"/>
      <c r="T155" s="576"/>
      <c r="U155" s="576"/>
      <c r="V155" s="576"/>
      <c r="W155" s="576"/>
      <c r="X155" s="576"/>
      <c r="Y155" s="576"/>
      <c r="Z155" s="576"/>
      <c r="AA155" s="576"/>
      <c r="AB155" s="576"/>
      <c r="AC155" s="98"/>
      <c r="AD155" s="98"/>
      <c r="AE155" s="98"/>
      <c r="AF155" s="98"/>
      <c r="AG155" s="98"/>
      <c r="AH155" s="98"/>
      <c r="AI155" s="576"/>
      <c r="AJ155" s="576"/>
      <c r="AK155" s="576"/>
      <c r="AL155" s="576"/>
      <c r="AM155" s="576"/>
      <c r="AN155" s="576"/>
      <c r="AO155" s="576"/>
      <c r="AP155" s="576"/>
      <c r="AQ155" s="576"/>
      <c r="AR155" s="576"/>
      <c r="AS155" s="576"/>
      <c r="AT155" s="576"/>
      <c r="AU155" s="576"/>
      <c r="AV155" s="576"/>
      <c r="AW155" s="576"/>
      <c r="AX155" s="576"/>
      <c r="AY155" s="576"/>
      <c r="AZ155" s="576"/>
      <c r="BA155" s="576"/>
      <c r="BB155" s="576"/>
      <c r="BC155" s="576"/>
      <c r="BD155" s="576"/>
      <c r="BE155" s="576"/>
      <c r="BF155" s="576"/>
      <c r="BG155" s="577"/>
    </row>
    <row r="156" spans="1:59" x14ac:dyDescent="0.2">
      <c r="A156" s="576"/>
      <c r="B156" s="98"/>
      <c r="C156" s="98"/>
      <c r="D156" s="98"/>
      <c r="E156" s="98"/>
      <c r="F156" s="98"/>
      <c r="G156" s="98"/>
      <c r="H156" s="98"/>
      <c r="I156" s="576"/>
      <c r="J156" s="576"/>
      <c r="K156" s="576"/>
      <c r="L156" s="576"/>
      <c r="M156" s="576"/>
      <c r="N156" s="576"/>
      <c r="O156" s="576"/>
      <c r="P156" s="576"/>
      <c r="Q156" s="576"/>
      <c r="R156" s="576"/>
      <c r="S156" s="576"/>
      <c r="T156" s="576"/>
      <c r="U156" s="576"/>
      <c r="V156" s="576"/>
      <c r="W156" s="576"/>
      <c r="X156" s="576"/>
      <c r="Y156" s="576"/>
      <c r="Z156" s="576"/>
      <c r="AA156" s="576"/>
      <c r="AB156" s="576"/>
      <c r="AC156" s="98"/>
      <c r="AD156" s="98"/>
      <c r="AE156" s="98"/>
      <c r="AF156" s="98"/>
      <c r="AG156" s="98"/>
      <c r="AH156" s="98"/>
      <c r="AI156" s="576"/>
      <c r="AJ156" s="576"/>
      <c r="AK156" s="576"/>
      <c r="AL156" s="576"/>
      <c r="AM156" s="576"/>
      <c r="AN156" s="576"/>
      <c r="AO156" s="576"/>
      <c r="AP156" s="576"/>
      <c r="AQ156" s="576"/>
      <c r="AR156" s="576"/>
      <c r="AS156" s="576"/>
      <c r="AT156" s="576"/>
      <c r="AU156" s="576"/>
      <c r="AV156" s="576"/>
      <c r="AW156" s="576"/>
      <c r="AX156" s="576"/>
      <c r="AY156" s="576"/>
      <c r="AZ156" s="576"/>
      <c r="BA156" s="576"/>
      <c r="BB156" s="576"/>
      <c r="BC156" s="576"/>
      <c r="BD156" s="576"/>
      <c r="BE156" s="576"/>
      <c r="BF156" s="576"/>
      <c r="BG156" s="577"/>
    </row>
    <row r="157" spans="1:59" x14ac:dyDescent="0.2">
      <c r="A157" s="576"/>
      <c r="B157" s="98"/>
      <c r="C157" s="98"/>
      <c r="D157" s="98"/>
      <c r="E157" s="98"/>
      <c r="F157" s="98"/>
      <c r="G157" s="98"/>
      <c r="H157" s="98"/>
      <c r="I157" s="576"/>
      <c r="J157" s="576"/>
      <c r="K157" s="576"/>
      <c r="L157" s="576"/>
      <c r="M157" s="576"/>
      <c r="N157" s="576"/>
      <c r="O157" s="576"/>
      <c r="P157" s="576"/>
      <c r="Q157" s="576"/>
      <c r="R157" s="576"/>
      <c r="S157" s="576"/>
      <c r="T157" s="576"/>
      <c r="U157" s="576"/>
      <c r="V157" s="576"/>
      <c r="W157" s="576"/>
      <c r="X157" s="576"/>
      <c r="Y157" s="576"/>
      <c r="Z157" s="576"/>
      <c r="AA157" s="576"/>
      <c r="AB157" s="576"/>
      <c r="AC157" s="98"/>
      <c r="AD157" s="98"/>
      <c r="AE157" s="98"/>
      <c r="AF157" s="98"/>
      <c r="AG157" s="98"/>
      <c r="AH157" s="98"/>
      <c r="AI157" s="576"/>
      <c r="AJ157" s="576"/>
      <c r="AK157" s="576"/>
      <c r="AL157" s="576"/>
      <c r="AM157" s="576"/>
      <c r="AN157" s="576"/>
      <c r="AO157" s="576"/>
      <c r="AP157" s="576"/>
      <c r="AQ157" s="576"/>
      <c r="AR157" s="576"/>
      <c r="AS157" s="576"/>
      <c r="AT157" s="576"/>
      <c r="AU157" s="576"/>
      <c r="AV157" s="576"/>
      <c r="AW157" s="576"/>
      <c r="AX157" s="576"/>
      <c r="AY157" s="576"/>
      <c r="AZ157" s="576"/>
      <c r="BA157" s="576"/>
      <c r="BB157" s="576"/>
      <c r="BC157" s="576"/>
      <c r="BD157" s="576"/>
      <c r="BE157" s="576"/>
      <c r="BF157" s="576"/>
      <c r="BG157" s="577"/>
    </row>
    <row r="158" spans="1:59" x14ac:dyDescent="0.2">
      <c r="A158" s="576"/>
      <c r="B158" s="98"/>
      <c r="C158" s="98"/>
      <c r="D158" s="98"/>
      <c r="E158" s="98"/>
      <c r="F158" s="98"/>
      <c r="G158" s="98"/>
      <c r="H158" s="98"/>
      <c r="I158" s="576"/>
      <c r="J158" s="576"/>
      <c r="K158" s="576"/>
      <c r="L158" s="576"/>
      <c r="M158" s="576"/>
      <c r="N158" s="576"/>
      <c r="O158" s="576"/>
      <c r="P158" s="576"/>
      <c r="Q158" s="576"/>
      <c r="R158" s="576"/>
      <c r="S158" s="576"/>
      <c r="T158" s="576"/>
      <c r="U158" s="576"/>
      <c r="V158" s="576"/>
      <c r="W158" s="576"/>
      <c r="X158" s="576"/>
      <c r="Y158" s="576"/>
      <c r="Z158" s="576"/>
      <c r="AA158" s="576"/>
      <c r="AB158" s="576"/>
      <c r="AC158" s="98"/>
      <c r="AD158" s="98"/>
      <c r="AE158" s="98"/>
      <c r="AF158" s="98"/>
      <c r="AG158" s="98"/>
      <c r="AH158" s="98"/>
      <c r="AI158" s="576"/>
      <c r="AJ158" s="576"/>
      <c r="AK158" s="576"/>
      <c r="AL158" s="576"/>
      <c r="AM158" s="576"/>
      <c r="AN158" s="576"/>
      <c r="AO158" s="576"/>
      <c r="AP158" s="576"/>
      <c r="AQ158" s="576"/>
      <c r="AR158" s="576"/>
      <c r="AS158" s="576"/>
      <c r="AT158" s="576"/>
      <c r="AU158" s="576"/>
      <c r="AV158" s="576"/>
      <c r="AW158" s="576"/>
      <c r="AX158" s="576"/>
      <c r="AY158" s="576"/>
      <c r="AZ158" s="576"/>
      <c r="BA158" s="576"/>
      <c r="BB158" s="576"/>
      <c r="BC158" s="576"/>
      <c r="BD158" s="576"/>
      <c r="BE158" s="576"/>
      <c r="BF158" s="576"/>
      <c r="BG158" s="577"/>
    </row>
    <row r="159" spans="1:59" x14ac:dyDescent="0.2">
      <c r="A159" s="576"/>
      <c r="B159" s="98"/>
      <c r="C159" s="98"/>
      <c r="D159" s="98"/>
      <c r="E159" s="98"/>
      <c r="F159" s="98"/>
      <c r="G159" s="98"/>
      <c r="H159" s="98"/>
      <c r="I159" s="576"/>
      <c r="J159" s="576"/>
      <c r="K159" s="576"/>
      <c r="L159" s="576"/>
      <c r="M159" s="576"/>
      <c r="N159" s="576"/>
      <c r="O159" s="576"/>
      <c r="P159" s="576"/>
      <c r="Q159" s="576"/>
      <c r="R159" s="576"/>
      <c r="S159" s="576"/>
      <c r="T159" s="576"/>
      <c r="U159" s="576"/>
      <c r="V159" s="576"/>
      <c r="W159" s="576"/>
      <c r="X159" s="576"/>
      <c r="Y159" s="576"/>
      <c r="Z159" s="576"/>
      <c r="AA159" s="576"/>
      <c r="AB159" s="576"/>
      <c r="AC159" s="98"/>
      <c r="AD159" s="98"/>
      <c r="AE159" s="98"/>
      <c r="AF159" s="98"/>
      <c r="AG159" s="98"/>
      <c r="AH159" s="98"/>
      <c r="AI159" s="576"/>
      <c r="AJ159" s="576"/>
      <c r="AK159" s="576"/>
      <c r="AL159" s="576"/>
      <c r="AM159" s="576"/>
      <c r="AN159" s="576"/>
      <c r="AO159" s="576"/>
      <c r="AP159" s="576"/>
      <c r="AQ159" s="576"/>
      <c r="AR159" s="576"/>
      <c r="AS159" s="576"/>
      <c r="AT159" s="576"/>
      <c r="AU159" s="576"/>
      <c r="AV159" s="576"/>
      <c r="AW159" s="576"/>
      <c r="AX159" s="576"/>
      <c r="AY159" s="576"/>
      <c r="AZ159" s="576"/>
      <c r="BA159" s="576"/>
      <c r="BB159" s="576"/>
      <c r="BC159" s="576"/>
      <c r="BD159" s="576"/>
      <c r="BE159" s="576"/>
      <c r="BF159" s="576"/>
      <c r="BG159" s="577"/>
    </row>
    <row r="160" spans="1:59" x14ac:dyDescent="0.2">
      <c r="A160" s="576"/>
      <c r="B160" s="98"/>
      <c r="C160" s="98"/>
      <c r="D160" s="98"/>
      <c r="E160" s="98"/>
      <c r="F160" s="98"/>
      <c r="G160" s="98"/>
      <c r="H160" s="98"/>
      <c r="I160" s="576"/>
      <c r="J160" s="576"/>
      <c r="K160" s="576"/>
      <c r="L160" s="576"/>
      <c r="M160" s="576"/>
      <c r="N160" s="576"/>
      <c r="O160" s="576"/>
      <c r="P160" s="576"/>
      <c r="Q160" s="576"/>
      <c r="R160" s="576"/>
      <c r="S160" s="576"/>
      <c r="T160" s="576"/>
      <c r="U160" s="576"/>
      <c r="V160" s="576"/>
      <c r="W160" s="576"/>
      <c r="X160" s="576"/>
      <c r="Y160" s="576"/>
      <c r="Z160" s="576"/>
      <c r="AA160" s="576"/>
      <c r="AB160" s="576"/>
      <c r="AC160" s="98"/>
      <c r="AD160" s="98"/>
      <c r="AE160" s="98"/>
      <c r="AF160" s="98"/>
      <c r="AG160" s="98"/>
      <c r="AH160" s="98"/>
      <c r="AI160" s="576"/>
      <c r="AJ160" s="576"/>
      <c r="AK160" s="576"/>
      <c r="AL160" s="576"/>
      <c r="AM160" s="576"/>
      <c r="AN160" s="576"/>
      <c r="AO160" s="576"/>
      <c r="AP160" s="576"/>
      <c r="AQ160" s="576"/>
      <c r="AR160" s="576"/>
      <c r="AS160" s="576"/>
      <c r="AT160" s="576"/>
      <c r="AU160" s="576"/>
      <c r="AV160" s="576"/>
      <c r="AW160" s="576"/>
      <c r="AX160" s="576"/>
      <c r="AY160" s="576"/>
      <c r="AZ160" s="576"/>
      <c r="BA160" s="576"/>
      <c r="BB160" s="576"/>
      <c r="BC160" s="576"/>
      <c r="BD160" s="576"/>
      <c r="BE160" s="576"/>
      <c r="BF160" s="576"/>
      <c r="BG160" s="577"/>
    </row>
    <row r="161" spans="1:59" x14ac:dyDescent="0.2">
      <c r="A161" s="576"/>
      <c r="B161" s="98"/>
      <c r="C161" s="98"/>
      <c r="D161" s="98"/>
      <c r="E161" s="98"/>
      <c r="F161" s="98"/>
      <c r="G161" s="98"/>
      <c r="H161" s="98"/>
      <c r="I161" s="576"/>
      <c r="J161" s="576"/>
      <c r="K161" s="576"/>
      <c r="L161" s="576"/>
      <c r="M161" s="576"/>
      <c r="N161" s="576"/>
      <c r="O161" s="576"/>
      <c r="P161" s="576"/>
      <c r="Q161" s="576"/>
      <c r="R161" s="576"/>
      <c r="S161" s="576"/>
      <c r="T161" s="576"/>
      <c r="U161" s="576"/>
      <c r="V161" s="576"/>
      <c r="W161" s="576"/>
      <c r="X161" s="576"/>
      <c r="Y161" s="576"/>
      <c r="Z161" s="576"/>
      <c r="AA161" s="576"/>
      <c r="AB161" s="576"/>
      <c r="AC161" s="98"/>
      <c r="AD161" s="98"/>
      <c r="AE161" s="98"/>
      <c r="AF161" s="98"/>
      <c r="AG161" s="98"/>
      <c r="AH161" s="98"/>
      <c r="AI161" s="576"/>
      <c r="AJ161" s="576"/>
      <c r="AK161" s="576"/>
      <c r="AL161" s="576"/>
      <c r="AM161" s="576"/>
      <c r="AN161" s="576"/>
      <c r="AO161" s="576"/>
      <c r="AP161" s="576"/>
      <c r="AQ161" s="576"/>
      <c r="AR161" s="576"/>
      <c r="AS161" s="576"/>
      <c r="AT161" s="576"/>
      <c r="AU161" s="576"/>
      <c r="AV161" s="576"/>
      <c r="AW161" s="576"/>
      <c r="AX161" s="576"/>
      <c r="AY161" s="576"/>
      <c r="AZ161" s="576"/>
      <c r="BA161" s="576"/>
      <c r="BB161" s="576"/>
      <c r="BC161" s="576"/>
      <c r="BD161" s="576"/>
      <c r="BE161" s="576"/>
      <c r="BF161" s="576"/>
      <c r="BG161" s="577"/>
    </row>
    <row r="162" spans="1:59" x14ac:dyDescent="0.2">
      <c r="A162" s="576"/>
      <c r="B162" s="98"/>
      <c r="C162" s="98"/>
      <c r="D162" s="98"/>
      <c r="E162" s="98"/>
      <c r="F162" s="98"/>
      <c r="G162" s="98"/>
      <c r="H162" s="98"/>
      <c r="I162" s="576"/>
      <c r="J162" s="576"/>
      <c r="K162" s="576"/>
      <c r="L162" s="576"/>
      <c r="M162" s="576"/>
      <c r="N162" s="576"/>
      <c r="O162" s="576"/>
      <c r="P162" s="576"/>
      <c r="Q162" s="576"/>
      <c r="R162" s="576"/>
      <c r="S162" s="576"/>
      <c r="T162" s="576"/>
      <c r="U162" s="576"/>
      <c r="V162" s="576"/>
      <c r="W162" s="576"/>
      <c r="X162" s="576"/>
      <c r="Y162" s="576"/>
      <c r="Z162" s="576"/>
      <c r="AA162" s="576"/>
      <c r="AB162" s="576"/>
      <c r="AC162" s="98"/>
      <c r="AD162" s="98"/>
      <c r="AE162" s="98"/>
      <c r="AF162" s="98"/>
      <c r="AG162" s="98"/>
      <c r="AH162" s="98"/>
      <c r="AI162" s="576"/>
      <c r="AJ162" s="576"/>
      <c r="AK162" s="576"/>
      <c r="AL162" s="576"/>
      <c r="AM162" s="576"/>
      <c r="AN162" s="576"/>
      <c r="AO162" s="576"/>
      <c r="AP162" s="576"/>
      <c r="AQ162" s="576"/>
      <c r="AR162" s="576"/>
      <c r="AS162" s="576"/>
      <c r="AT162" s="576"/>
      <c r="AU162" s="576"/>
      <c r="AV162" s="576"/>
      <c r="AW162" s="576"/>
      <c r="AX162" s="576"/>
      <c r="AY162" s="576"/>
      <c r="AZ162" s="576"/>
      <c r="BA162" s="576"/>
      <c r="BB162" s="576"/>
      <c r="BC162" s="576"/>
      <c r="BD162" s="576"/>
      <c r="BE162" s="576"/>
      <c r="BF162" s="576"/>
      <c r="BG162" s="577"/>
    </row>
    <row r="163" spans="1:59" x14ac:dyDescent="0.2">
      <c r="A163" s="579"/>
      <c r="B163" s="100"/>
      <c r="C163" s="100"/>
      <c r="D163" s="100"/>
      <c r="E163" s="100"/>
      <c r="F163" s="100"/>
      <c r="G163" s="100"/>
      <c r="H163" s="100"/>
      <c r="I163" s="579"/>
      <c r="J163" s="579"/>
      <c r="K163" s="579"/>
      <c r="L163" s="579"/>
      <c r="M163" s="579"/>
      <c r="N163" s="579"/>
      <c r="O163" s="579"/>
      <c r="P163" s="579"/>
      <c r="Q163" s="579"/>
      <c r="R163" s="579"/>
      <c r="S163" s="579"/>
      <c r="T163" s="579"/>
      <c r="U163" s="579"/>
      <c r="V163" s="579"/>
      <c r="W163" s="579"/>
      <c r="X163" s="579"/>
      <c r="Y163" s="579"/>
      <c r="Z163" s="579"/>
      <c r="AA163" s="579"/>
      <c r="AB163" s="579"/>
      <c r="AC163" s="100"/>
      <c r="AD163" s="100"/>
      <c r="AE163" s="100"/>
      <c r="AF163" s="100"/>
      <c r="AG163" s="100"/>
      <c r="AH163" s="100"/>
      <c r="AI163" s="579"/>
      <c r="AJ163" s="579"/>
      <c r="AK163" s="579"/>
      <c r="AL163" s="579"/>
      <c r="AM163" s="579"/>
      <c r="AN163" s="579"/>
      <c r="AO163" s="579"/>
      <c r="AP163" s="579"/>
      <c r="AQ163" s="579"/>
      <c r="AR163" s="579"/>
      <c r="AS163" s="579"/>
      <c r="AT163" s="579"/>
      <c r="AU163" s="579"/>
      <c r="AV163" s="579"/>
      <c r="AW163" s="579"/>
      <c r="AX163" s="579"/>
      <c r="AY163" s="579"/>
      <c r="AZ163" s="579"/>
      <c r="BA163" s="579"/>
      <c r="BB163" s="579"/>
      <c r="BC163" s="579"/>
      <c r="BD163" s="579"/>
      <c r="BE163" s="579"/>
      <c r="BF163" s="579"/>
      <c r="BG163" s="580"/>
    </row>
  </sheetData>
  <sheetProtection algorithmName="SHA-512" hashValue="7Xs9xefVIQkOYvTxcI/ywPbvUwdmNy+jxWtwVQngN3VFdO6IqeHShZBCaqbNGMGJMiN3XgWZu+f8v7mTJX4D7Q==" saltValue="WmjbtyIvO2iYS63nAQX3Ww==" spinCount="100000" sheet="1" selectLockedCells="1"/>
  <dataConsolidate link="1"/>
  <mergeCells count="65">
    <mergeCell ref="D91:D93"/>
    <mergeCell ref="D59:D60"/>
    <mergeCell ref="D70:D76"/>
    <mergeCell ref="C59:C60"/>
    <mergeCell ref="C61:C78"/>
    <mergeCell ref="C79:C84"/>
    <mergeCell ref="C85:C86"/>
    <mergeCell ref="C87:C94"/>
    <mergeCell ref="B7:B8"/>
    <mergeCell ref="B14:B16"/>
    <mergeCell ref="E14:E16"/>
    <mergeCell ref="E7:E9"/>
    <mergeCell ref="C45:C58"/>
    <mergeCell ref="D38:D39"/>
    <mergeCell ref="C7:C13"/>
    <mergeCell ref="C14:C20"/>
    <mergeCell ref="C21:C35"/>
    <mergeCell ref="C36:C37"/>
    <mergeCell ref="C38:C44"/>
    <mergeCell ref="D41:D43"/>
    <mergeCell ref="D7:D10"/>
    <mergeCell ref="D14:D17"/>
    <mergeCell ref="D32:D35"/>
    <mergeCell ref="D36:D37"/>
    <mergeCell ref="E18:E20"/>
    <mergeCell ref="D18:D20"/>
    <mergeCell ref="B24:B26"/>
    <mergeCell ref="D21:D26"/>
    <mergeCell ref="B21:B23"/>
    <mergeCell ref="B27:B29"/>
    <mergeCell ref="D27:D29"/>
    <mergeCell ref="B32:B34"/>
    <mergeCell ref="B45:B47"/>
    <mergeCell ref="E21:E23"/>
    <mergeCell ref="E24:E26"/>
    <mergeCell ref="E27:E29"/>
    <mergeCell ref="E32:E34"/>
    <mergeCell ref="E45:E47"/>
    <mergeCell ref="B48:B50"/>
    <mergeCell ref="D45:D50"/>
    <mergeCell ref="E48:E50"/>
    <mergeCell ref="B51:B53"/>
    <mergeCell ref="E51:E53"/>
    <mergeCell ref="B54:B56"/>
    <mergeCell ref="D51:D56"/>
    <mergeCell ref="E54:E56"/>
    <mergeCell ref="E61:E63"/>
    <mergeCell ref="B61:B63"/>
    <mergeCell ref="B64:B66"/>
    <mergeCell ref="D61:D66"/>
    <mergeCell ref="E64:E66"/>
    <mergeCell ref="B67:B69"/>
    <mergeCell ref="D67:D69"/>
    <mergeCell ref="E67:E69"/>
    <mergeCell ref="B87:B89"/>
    <mergeCell ref="E87:E89"/>
    <mergeCell ref="E70:E72"/>
    <mergeCell ref="B70:B72"/>
    <mergeCell ref="B73:B75"/>
    <mergeCell ref="E73:E75"/>
    <mergeCell ref="B79:B81"/>
    <mergeCell ref="E79:E81"/>
    <mergeCell ref="D79:D82"/>
    <mergeCell ref="D85:D86"/>
    <mergeCell ref="D87:D90"/>
  </mergeCells>
  <conditionalFormatting sqref="I4:AB4 I7:AB95">
    <cfRule type="notContainsBlanks" dxfId="11" priority="1">
      <formula>LEN(TRIM(I4))&gt;0</formula>
    </cfRule>
  </conditionalFormatting>
  <dataValidations count="1">
    <dataValidation type="whole" allowBlank="1" showInputMessage="1" showErrorMessage="1" errorTitle="Attenzione" error="Il servizio di Pulizia deve avere una durata minima di 30 mesi e una durata massima di 48 mesi" sqref="I4:AB4" xr:uid="{00000000-0002-0000-1300-000000000000}">
      <formula1>30</formula1>
      <formula2>48</formula2>
    </dataValidation>
  </dataValidations>
  <pageMargins left="0.7" right="0.7" top="0.75" bottom="0.75" header="0.3" footer="0.3"/>
  <pageSetup paperSize="8" orientation="landscape"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16"/>
  <dimension ref="A1:BX134"/>
  <sheetViews>
    <sheetView zoomScale="130" zoomScaleNormal="130" workbookViewId="0">
      <pane xSplit="5" ySplit="6" topLeftCell="F64" activePane="bottomRight" state="frozen"/>
      <selection pane="topRight" activeCell="F1" sqref="F1"/>
      <selection pane="bottomLeft" activeCell="A7" sqref="A7"/>
      <selection pane="bottomRight" activeCell="F47" sqref="F47"/>
    </sheetView>
  </sheetViews>
  <sheetFormatPr defaultColWidth="9.140625" defaultRowHeight="11.25" x14ac:dyDescent="0.2"/>
  <cols>
    <col min="1" max="1" width="0.5703125" style="573" customWidth="1"/>
    <col min="2" max="2" width="10.140625" style="99" customWidth="1"/>
    <col min="3" max="3" width="9.85546875" style="99" bestFit="1" customWidth="1"/>
    <col min="4" max="4" width="29" style="99" customWidth="1"/>
    <col min="5" max="5" width="14.28515625" style="99" bestFit="1" customWidth="1"/>
    <col min="6" max="6" width="9.42578125" style="573" bestFit="1" customWidth="1"/>
    <col min="7" max="7" width="9.42578125" style="573" customWidth="1"/>
    <col min="8" max="8" width="10.140625" style="573" bestFit="1" customWidth="1"/>
    <col min="9" max="9" width="10.140625" style="573" customWidth="1"/>
    <col min="10" max="10" width="10.140625" style="573" bestFit="1" customWidth="1"/>
    <col min="11" max="11" width="10.140625" style="573" customWidth="1"/>
    <col min="12" max="12" width="9.42578125" style="573" bestFit="1" customWidth="1"/>
    <col min="13" max="13" width="9.42578125" style="573" customWidth="1"/>
    <col min="14" max="14" width="10.140625" style="573" bestFit="1" customWidth="1"/>
    <col min="15" max="15" width="10.140625" style="573" customWidth="1"/>
    <col min="16" max="16" width="10.140625" style="573" bestFit="1" customWidth="1"/>
    <col min="17" max="17" width="10.140625" style="573" customWidth="1"/>
    <col min="18" max="18" width="9.42578125" style="573" bestFit="1" customWidth="1"/>
    <col min="19" max="19" width="9.42578125" style="573" customWidth="1"/>
    <col min="20" max="20" width="10.140625" style="573" bestFit="1" customWidth="1"/>
    <col min="21" max="21" width="10.140625" style="573" customWidth="1"/>
    <col min="22" max="22" width="10.140625" style="573" bestFit="1" customWidth="1"/>
    <col min="23" max="23" width="10.140625" style="573" customWidth="1"/>
    <col min="24" max="24" width="9.42578125" style="573" bestFit="1" customWidth="1"/>
    <col min="25" max="25" width="9.42578125" style="573" customWidth="1"/>
    <col min="26" max="26" width="10.140625" style="573" bestFit="1" customWidth="1"/>
    <col min="27" max="27" width="10.140625" style="573" customWidth="1"/>
    <col min="28" max="28" width="10.140625" style="573" bestFit="1" customWidth="1"/>
    <col min="29" max="29" width="10.140625" style="573" customWidth="1"/>
    <col min="30" max="30" width="10.140625" style="573" bestFit="1" customWidth="1"/>
    <col min="31" max="31" width="10.140625" style="573" customWidth="1"/>
    <col min="32" max="32" width="10.140625" style="573" bestFit="1" customWidth="1"/>
    <col min="33" max="33" width="10.140625" style="573" customWidth="1"/>
    <col min="34" max="34" width="9.42578125" style="573" bestFit="1" customWidth="1"/>
    <col min="35" max="35" width="9.42578125" style="573" customWidth="1"/>
    <col min="36" max="36" width="10.140625" style="573" bestFit="1" customWidth="1"/>
    <col min="37" max="37" width="10.140625" style="573" customWidth="1"/>
    <col min="38" max="38" width="10.140625" style="573" bestFit="1" customWidth="1"/>
    <col min="39" max="39" width="10.140625" style="573" customWidth="1"/>
    <col min="40" max="40" width="9.42578125" style="573" bestFit="1" customWidth="1"/>
    <col min="41" max="41" width="9.42578125" style="573" customWidth="1"/>
    <col min="42" max="42" width="10.140625" style="573" bestFit="1" customWidth="1"/>
    <col min="43" max="43" width="10.140625" style="573" customWidth="1"/>
    <col min="44" max="44" width="10.140625" style="573" bestFit="1" customWidth="1"/>
    <col min="45" max="45" width="10.140625" style="573" customWidth="1"/>
    <col min="46" max="46" width="12.42578125" style="99" bestFit="1" customWidth="1"/>
    <col min="47" max="47" width="5.140625" style="99" bestFit="1" customWidth="1"/>
    <col min="48" max="48" width="7.5703125" style="99" bestFit="1" customWidth="1"/>
    <col min="49" max="49" width="12.28515625" style="99" bestFit="1" customWidth="1"/>
    <col min="50" max="50" width="7.5703125" style="99" bestFit="1" customWidth="1"/>
    <col min="51" max="51" width="12.28515625" style="99" bestFit="1" customWidth="1"/>
    <col min="52" max="16384" width="9.140625" style="573"/>
  </cols>
  <sheetData>
    <row r="1" spans="1:76" ht="12" thickBot="1" x14ac:dyDescent="0.25"/>
    <row r="2" spans="1:76" s="99" customFormat="1" ht="12.75" thickBot="1" x14ac:dyDescent="0.25">
      <c r="F2" s="1008" t="s">
        <v>308</v>
      </c>
      <c r="G2" s="1009"/>
      <c r="H2" s="1008" t="s">
        <v>309</v>
      </c>
      <c r="I2" s="1009"/>
      <c r="J2" s="1008" t="s">
        <v>310</v>
      </c>
      <c r="K2" s="1009"/>
      <c r="L2" s="1008" t="s">
        <v>311</v>
      </c>
      <c r="M2" s="1009"/>
      <c r="N2" s="1008" t="s">
        <v>312</v>
      </c>
      <c r="O2" s="1009"/>
      <c r="P2" s="1008" t="s">
        <v>313</v>
      </c>
      <c r="Q2" s="1009"/>
      <c r="R2" s="1008" t="s">
        <v>314</v>
      </c>
      <c r="S2" s="1009"/>
      <c r="T2" s="1008" t="s">
        <v>315</v>
      </c>
      <c r="U2" s="1009"/>
      <c r="V2" s="1008" t="s">
        <v>316</v>
      </c>
      <c r="W2" s="1009"/>
      <c r="X2" s="1008" t="s">
        <v>317</v>
      </c>
      <c r="Y2" s="1009"/>
      <c r="Z2" s="1008" t="s">
        <v>318</v>
      </c>
      <c r="AA2" s="1009"/>
      <c r="AB2" s="1008" t="s">
        <v>319</v>
      </c>
      <c r="AC2" s="1009"/>
      <c r="AD2" s="1008" t="s">
        <v>320</v>
      </c>
      <c r="AE2" s="1009"/>
      <c r="AF2" s="1008" t="s">
        <v>321</v>
      </c>
      <c r="AG2" s="1009"/>
      <c r="AH2" s="1008" t="s">
        <v>322</v>
      </c>
      <c r="AI2" s="1009"/>
      <c r="AJ2" s="1008" t="s">
        <v>323</v>
      </c>
      <c r="AK2" s="1009"/>
      <c r="AL2" s="1008" t="s">
        <v>324</v>
      </c>
      <c r="AM2" s="1009"/>
      <c r="AN2" s="1008" t="s">
        <v>325</v>
      </c>
      <c r="AO2" s="1009"/>
      <c r="AP2" s="1008" t="s">
        <v>326</v>
      </c>
      <c r="AQ2" s="1009"/>
      <c r="AR2" s="1008" t="s">
        <v>327</v>
      </c>
      <c r="AS2" s="1009"/>
    </row>
    <row r="3" spans="1:76" s="99" customFormat="1" ht="24.75" thickBot="1" x14ac:dyDescent="0.25">
      <c r="E3" s="124" t="s">
        <v>1170</v>
      </c>
      <c r="F3" s="1010" t="str">
        <f>IF(HLOOKUP(F2,PUL_AB!$I$2:$AB$3,2,FALSE)="","",HLOOKUP(F2,PUL_AB!$I$2:$AB$3,2,FALSE))</f>
        <v>Sede ICE-AGID</v>
      </c>
      <c r="G3" s="1011"/>
      <c r="H3" s="1010" t="str">
        <f>IF(HLOOKUP(H2,PUL_AB!$I$2:$AB$3,2,FALSE)="","",HLOOKUP(H2,PUL_AB!$I$2:$AB$3,2,FALSE))</f>
        <v/>
      </c>
      <c r="I3" s="1011"/>
      <c r="J3" s="1010" t="str">
        <f>IF(HLOOKUP(J2,PUL_AB!$I$2:$AB$3,2,FALSE)="","",HLOOKUP(J2,PUL_AB!$I$2:$AB$3,2,FALSE))</f>
        <v/>
      </c>
      <c r="K3" s="1011"/>
      <c r="L3" s="1010" t="str">
        <f>IF(HLOOKUP(L2,PUL_AB!$I$2:$AB$3,2,FALSE)="","",HLOOKUP(L2,PUL_AB!$I$2:$AB$3,2,FALSE))</f>
        <v/>
      </c>
      <c r="M3" s="1011"/>
      <c r="N3" s="1010" t="str">
        <f>IF(HLOOKUP(N2,PUL_AB!$I$2:$AB$3,2,FALSE)="","",HLOOKUP(N2,PUL_AB!$I$2:$AB$3,2,FALSE))</f>
        <v/>
      </c>
      <c r="O3" s="1011"/>
      <c r="P3" s="1010" t="str">
        <f>IF(HLOOKUP(P2,PUL_AB!$I$2:$AB$3,2,FALSE)="","",HLOOKUP(P2,PUL_AB!$I$2:$AB$3,2,FALSE))</f>
        <v/>
      </c>
      <c r="Q3" s="1011"/>
      <c r="R3" s="1010" t="str">
        <f>IF(HLOOKUP(R2,PUL_AB!$I$2:$AB$3,2,FALSE)="","",HLOOKUP(R2,PUL_AB!$I$2:$AB$3,2,FALSE))</f>
        <v/>
      </c>
      <c r="S3" s="1011"/>
      <c r="T3" s="1010" t="str">
        <f>IF(HLOOKUP(T2,PUL_AB!$I$2:$AB$3,2,FALSE)="","",HLOOKUP(T2,PUL_AB!$I$2:$AB$3,2,FALSE))</f>
        <v/>
      </c>
      <c r="U3" s="1011"/>
      <c r="V3" s="1010" t="str">
        <f>IF(HLOOKUP(V2,PUL_AB!$I$2:$AB$3,2,FALSE)="","",HLOOKUP(V2,PUL_AB!$I$2:$AB$3,2,FALSE))</f>
        <v/>
      </c>
      <c r="W3" s="1011"/>
      <c r="X3" s="1010" t="str">
        <f>IF(HLOOKUP(X2,PUL_AB!$I$2:$AB$3,2,FALSE)="","",HLOOKUP(X2,PUL_AB!$I$2:$AB$3,2,FALSE))</f>
        <v/>
      </c>
      <c r="Y3" s="1011"/>
      <c r="Z3" s="1010" t="str">
        <f>IF(HLOOKUP(Z2,PUL_AB!$I$2:$AB$3,2,FALSE)="","",HLOOKUP(Z2,PUL_AB!$I$2:$AB$3,2,FALSE))</f>
        <v/>
      </c>
      <c r="AA3" s="1011"/>
      <c r="AB3" s="1010" t="str">
        <f>IF(HLOOKUP(AB2,PUL_AB!$I$2:$AB$3,2,FALSE)="","",HLOOKUP(AB2,PUL_AB!$I$2:$AB$3,2,FALSE))</f>
        <v/>
      </c>
      <c r="AC3" s="1011"/>
      <c r="AD3" s="1010" t="str">
        <f>IF(HLOOKUP(AD2,PUL_AB!$I$2:$AB$3,2,FALSE)="","",HLOOKUP(AD2,PUL_AB!$I$2:$AB$3,2,FALSE))</f>
        <v/>
      </c>
      <c r="AE3" s="1011"/>
      <c r="AF3" s="1010" t="str">
        <f>IF(HLOOKUP(AF2,PUL_AB!$I$2:$AB$3,2,FALSE)="","",HLOOKUP(AF2,PUL_AB!$I$2:$AB$3,2,FALSE))</f>
        <v/>
      </c>
      <c r="AG3" s="1011"/>
      <c r="AH3" s="1010" t="str">
        <f>IF(HLOOKUP(AH2,PUL_AB!$I$2:$AB$3,2,FALSE)="","",HLOOKUP(AH2,PUL_AB!$I$2:$AB$3,2,FALSE))</f>
        <v/>
      </c>
      <c r="AI3" s="1011"/>
      <c r="AJ3" s="1010" t="str">
        <f>IF(HLOOKUP(AJ2,PUL_AB!$I$2:$AB$3,2,FALSE)="","",HLOOKUP(AJ2,PUL_AB!$I$2:$AB$3,2,FALSE))</f>
        <v/>
      </c>
      <c r="AK3" s="1011"/>
      <c r="AL3" s="1010" t="str">
        <f>IF(HLOOKUP(AL2,PUL_AB!$I$2:$AB$3,2,FALSE)="","",HLOOKUP(AL2,PUL_AB!$I$2:$AB$3,2,FALSE))</f>
        <v/>
      </c>
      <c r="AM3" s="1011"/>
      <c r="AN3" s="1010" t="str">
        <f>IF(HLOOKUP(AN2,PUL_AB!$I$2:$AB$3,2,FALSE)="","",HLOOKUP(AN2,PUL_AB!$I$2:$AB$3,2,FALSE))</f>
        <v/>
      </c>
      <c r="AO3" s="1011"/>
      <c r="AP3" s="1010" t="str">
        <f>IF(HLOOKUP(AP2,PUL_AB!$I$2:$AB$3,2,FALSE)="","",HLOOKUP(AP2,PUL_AB!$I$2:$AB$3,2,FALSE))</f>
        <v/>
      </c>
      <c r="AQ3" s="1011"/>
      <c r="AR3" s="1010" t="str">
        <f>IF(HLOOKUP(AR2,PUL_AB!$I$2:$AB$3,2,FALSE)="","",HLOOKUP(AR2,PUL_AB!$I$2:$AB$3,2,FALSE))</f>
        <v/>
      </c>
      <c r="AS3" s="1011"/>
    </row>
    <row r="4" spans="1:76" ht="15" customHeight="1" thickBot="1" x14ac:dyDescent="0.25">
      <c r="B4" s="105" t="s">
        <v>971</v>
      </c>
      <c r="E4" s="125" t="s">
        <v>328</v>
      </c>
      <c r="F4" s="1004">
        <v>48</v>
      </c>
      <c r="G4" s="1005"/>
      <c r="H4" s="1004"/>
      <c r="I4" s="1005"/>
      <c r="J4" s="1004"/>
      <c r="K4" s="1005"/>
      <c r="L4" s="1004"/>
      <c r="M4" s="1005"/>
      <c r="N4" s="1004"/>
      <c r="O4" s="1005"/>
      <c r="P4" s="1004"/>
      <c r="Q4" s="1005"/>
      <c r="R4" s="1004"/>
      <c r="S4" s="1005"/>
      <c r="T4" s="1004"/>
      <c r="U4" s="1005"/>
      <c r="V4" s="1004"/>
      <c r="W4" s="1005"/>
      <c r="X4" s="1004"/>
      <c r="Y4" s="1005"/>
      <c r="Z4" s="1004"/>
      <c r="AA4" s="1005"/>
      <c r="AB4" s="1004"/>
      <c r="AC4" s="1005"/>
      <c r="AD4" s="1004"/>
      <c r="AE4" s="1005"/>
      <c r="AF4" s="1004"/>
      <c r="AG4" s="1005"/>
      <c r="AH4" s="1004"/>
      <c r="AI4" s="1005"/>
      <c r="AJ4" s="1004"/>
      <c r="AK4" s="1005"/>
      <c r="AL4" s="1004"/>
      <c r="AM4" s="1005"/>
      <c r="AN4" s="1004"/>
      <c r="AO4" s="1005"/>
      <c r="AP4" s="1004"/>
      <c r="AQ4" s="1005"/>
      <c r="AR4" s="1004"/>
      <c r="AS4" s="1005"/>
      <c r="AT4" s="118"/>
      <c r="AW4" s="118"/>
      <c r="AY4" s="118"/>
    </row>
    <row r="5" spans="1:76" ht="3" customHeight="1" thickBot="1" x14ac:dyDescent="0.25">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row>
    <row r="6" spans="1:76" s="99" customFormat="1" ht="57" thickBot="1" x14ac:dyDescent="0.25">
      <c r="A6" s="101"/>
      <c r="B6" s="121" t="s">
        <v>771</v>
      </c>
      <c r="C6" s="122" t="s">
        <v>777</v>
      </c>
      <c r="D6" s="122" t="s">
        <v>253</v>
      </c>
      <c r="E6" s="123" t="s">
        <v>1174</v>
      </c>
      <c r="F6" s="617" t="s">
        <v>969</v>
      </c>
      <c r="G6" s="618" t="s">
        <v>970</v>
      </c>
      <c r="H6" s="617" t="s">
        <v>969</v>
      </c>
      <c r="I6" s="618" t="s">
        <v>970</v>
      </c>
      <c r="J6" s="617" t="s">
        <v>969</v>
      </c>
      <c r="K6" s="618" t="s">
        <v>970</v>
      </c>
      <c r="L6" s="617" t="s">
        <v>969</v>
      </c>
      <c r="M6" s="618" t="s">
        <v>970</v>
      </c>
      <c r="N6" s="617" t="s">
        <v>969</v>
      </c>
      <c r="O6" s="618" t="s">
        <v>970</v>
      </c>
      <c r="P6" s="617" t="s">
        <v>969</v>
      </c>
      <c r="Q6" s="618" t="s">
        <v>970</v>
      </c>
      <c r="R6" s="617" t="s">
        <v>969</v>
      </c>
      <c r="S6" s="618" t="s">
        <v>970</v>
      </c>
      <c r="T6" s="617" t="s">
        <v>969</v>
      </c>
      <c r="U6" s="618" t="s">
        <v>970</v>
      </c>
      <c r="V6" s="617" t="s">
        <v>969</v>
      </c>
      <c r="W6" s="618" t="s">
        <v>970</v>
      </c>
      <c r="X6" s="617" t="s">
        <v>969</v>
      </c>
      <c r="Y6" s="618" t="s">
        <v>970</v>
      </c>
      <c r="Z6" s="617" t="s">
        <v>969</v>
      </c>
      <c r="AA6" s="618" t="s">
        <v>970</v>
      </c>
      <c r="AB6" s="617" t="s">
        <v>969</v>
      </c>
      <c r="AC6" s="618" t="s">
        <v>970</v>
      </c>
      <c r="AD6" s="617" t="s">
        <v>969</v>
      </c>
      <c r="AE6" s="618" t="s">
        <v>970</v>
      </c>
      <c r="AF6" s="617" t="s">
        <v>969</v>
      </c>
      <c r="AG6" s="618" t="s">
        <v>970</v>
      </c>
      <c r="AH6" s="617" t="s">
        <v>969</v>
      </c>
      <c r="AI6" s="618" t="s">
        <v>970</v>
      </c>
      <c r="AJ6" s="617" t="s">
        <v>969</v>
      </c>
      <c r="AK6" s="618" t="s">
        <v>970</v>
      </c>
      <c r="AL6" s="617" t="s">
        <v>969</v>
      </c>
      <c r="AM6" s="618" t="s">
        <v>970</v>
      </c>
      <c r="AN6" s="617" t="s">
        <v>969</v>
      </c>
      <c r="AO6" s="618" t="s">
        <v>970</v>
      </c>
      <c r="AP6" s="617" t="s">
        <v>969</v>
      </c>
      <c r="AQ6" s="618" t="s">
        <v>970</v>
      </c>
      <c r="AR6" s="617" t="s">
        <v>969</v>
      </c>
      <c r="AS6" s="618" t="s">
        <v>970</v>
      </c>
      <c r="AT6" s="127" t="s">
        <v>1197</v>
      </c>
      <c r="AU6" s="128" t="s">
        <v>51</v>
      </c>
      <c r="AV6" s="128" t="s">
        <v>143</v>
      </c>
      <c r="AW6" s="128" t="s">
        <v>1198</v>
      </c>
      <c r="AX6" s="128" t="s">
        <v>160</v>
      </c>
      <c r="AY6" s="128" t="s">
        <v>1199</v>
      </c>
      <c r="AZ6" s="98"/>
      <c r="BA6" s="98"/>
      <c r="BB6" s="98"/>
      <c r="BC6" s="98"/>
      <c r="BD6" s="98"/>
      <c r="BE6" s="98"/>
      <c r="BF6" s="98"/>
      <c r="BG6" s="98"/>
      <c r="BH6" s="98"/>
      <c r="BI6" s="98"/>
      <c r="BJ6" s="98"/>
      <c r="BK6" s="98"/>
      <c r="BL6" s="98"/>
      <c r="BM6" s="98"/>
      <c r="BN6" s="98"/>
      <c r="BO6" s="98"/>
      <c r="BP6" s="98"/>
      <c r="BQ6" s="98"/>
      <c r="BR6" s="98"/>
      <c r="BS6" s="98"/>
      <c r="BT6" s="98"/>
      <c r="BU6" s="98"/>
      <c r="BV6" s="98"/>
      <c r="BW6" s="98"/>
      <c r="BX6" s="96"/>
    </row>
    <row r="7" spans="1:76" ht="23.25" thickBot="1" x14ac:dyDescent="0.25">
      <c r="A7" s="575"/>
      <c r="B7" s="545" t="s">
        <v>888</v>
      </c>
      <c r="C7" s="986" t="s">
        <v>845</v>
      </c>
      <c r="D7" s="542" t="s">
        <v>937</v>
      </c>
      <c r="E7" s="280" t="s">
        <v>1162</v>
      </c>
      <c r="F7" s="861"/>
      <c r="G7" s="862"/>
      <c r="H7" s="469"/>
      <c r="I7" s="470"/>
      <c r="J7" s="469"/>
      <c r="K7" s="470"/>
      <c r="L7" s="469"/>
      <c r="M7" s="470"/>
      <c r="N7" s="469"/>
      <c r="O7" s="470"/>
      <c r="P7" s="469"/>
      <c r="Q7" s="470"/>
      <c r="R7" s="469"/>
      <c r="S7" s="470"/>
      <c r="T7" s="469"/>
      <c r="U7" s="470"/>
      <c r="V7" s="469"/>
      <c r="W7" s="470"/>
      <c r="X7" s="469"/>
      <c r="Y7" s="470"/>
      <c r="Z7" s="469"/>
      <c r="AA7" s="470"/>
      <c r="AB7" s="469"/>
      <c r="AC7" s="470"/>
      <c r="AD7" s="469"/>
      <c r="AE7" s="470"/>
      <c r="AF7" s="469"/>
      <c r="AG7" s="470"/>
      <c r="AH7" s="469"/>
      <c r="AI7" s="470"/>
      <c r="AJ7" s="469"/>
      <c r="AK7" s="470"/>
      <c r="AL7" s="469"/>
      <c r="AM7" s="470"/>
      <c r="AN7" s="469"/>
      <c r="AO7" s="470"/>
      <c r="AP7" s="469"/>
      <c r="AQ7" s="470"/>
      <c r="AR7" s="469"/>
      <c r="AS7" s="470"/>
      <c r="AT7" s="130">
        <v>2.1850000000000001</v>
      </c>
      <c r="AU7" s="613" t="s">
        <v>20</v>
      </c>
      <c r="AV7" s="131">
        <f>'Ribassi PE'!$K$27</f>
        <v>7.0000000000000007E-2</v>
      </c>
      <c r="AW7" s="132">
        <f t="shared" ref="AW7:AW66" si="0">ROUND(AT7*(1-AV7),3)</f>
        <v>2.032</v>
      </c>
      <c r="AX7" s="133">
        <f>'Ribassi PE'!$M$27</f>
        <v>0.6</v>
      </c>
      <c r="AY7" s="132">
        <f t="shared" ref="AY7:AY66" si="1">ROUND(AT7*(1-AX7),3)</f>
        <v>0.874</v>
      </c>
      <c r="AZ7" s="576"/>
      <c r="BA7" s="576"/>
      <c r="BB7" s="576"/>
      <c r="BC7" s="576"/>
      <c r="BD7" s="576"/>
      <c r="BE7" s="576"/>
      <c r="BF7" s="576"/>
      <c r="BG7" s="576"/>
      <c r="BH7" s="576"/>
      <c r="BI7" s="576"/>
      <c r="BJ7" s="576"/>
      <c r="BK7" s="576"/>
      <c r="BL7" s="576"/>
      <c r="BM7" s="576"/>
      <c r="BN7" s="576"/>
      <c r="BO7" s="576"/>
      <c r="BP7" s="576"/>
      <c r="BQ7" s="576"/>
      <c r="BR7" s="576"/>
      <c r="BS7" s="576"/>
      <c r="BT7" s="576"/>
      <c r="BU7" s="576"/>
      <c r="BV7" s="576"/>
      <c r="BW7" s="576"/>
      <c r="BX7" s="577"/>
    </row>
    <row r="8" spans="1:76" ht="23.25" thickBot="1" x14ac:dyDescent="0.25">
      <c r="A8" s="575"/>
      <c r="B8" s="546" t="s">
        <v>889</v>
      </c>
      <c r="C8" s="988"/>
      <c r="D8" s="543" t="s">
        <v>938</v>
      </c>
      <c r="E8" s="282" t="s">
        <v>1162</v>
      </c>
      <c r="F8" s="863"/>
      <c r="G8" s="864"/>
      <c r="H8" s="471"/>
      <c r="I8" s="472"/>
      <c r="J8" s="471"/>
      <c r="K8" s="472"/>
      <c r="L8" s="471"/>
      <c r="M8" s="472"/>
      <c r="N8" s="471"/>
      <c r="O8" s="472"/>
      <c r="P8" s="471"/>
      <c r="Q8" s="472"/>
      <c r="R8" s="471"/>
      <c r="S8" s="472"/>
      <c r="T8" s="471"/>
      <c r="U8" s="472"/>
      <c r="V8" s="471"/>
      <c r="W8" s="472"/>
      <c r="X8" s="471"/>
      <c r="Y8" s="472"/>
      <c r="Z8" s="471"/>
      <c r="AA8" s="472"/>
      <c r="AB8" s="471"/>
      <c r="AC8" s="472"/>
      <c r="AD8" s="471"/>
      <c r="AE8" s="472"/>
      <c r="AF8" s="471"/>
      <c r="AG8" s="472"/>
      <c r="AH8" s="471"/>
      <c r="AI8" s="472"/>
      <c r="AJ8" s="471"/>
      <c r="AK8" s="472"/>
      <c r="AL8" s="471"/>
      <c r="AM8" s="472"/>
      <c r="AN8" s="471"/>
      <c r="AO8" s="472"/>
      <c r="AP8" s="471"/>
      <c r="AQ8" s="472"/>
      <c r="AR8" s="471"/>
      <c r="AS8" s="472"/>
      <c r="AT8" s="164">
        <v>0.92300000000000004</v>
      </c>
      <c r="AU8" s="614" t="s">
        <v>20</v>
      </c>
      <c r="AV8" s="165">
        <f>'Ribassi PE'!$K$27</f>
        <v>7.0000000000000007E-2</v>
      </c>
      <c r="AW8" s="166">
        <f t="shared" si="0"/>
        <v>0.85799999999999998</v>
      </c>
      <c r="AX8" s="165">
        <f>'Ribassi PE'!$M$27</f>
        <v>0.6</v>
      </c>
      <c r="AY8" s="166">
        <f t="shared" si="1"/>
        <v>0.36899999999999999</v>
      </c>
      <c r="AZ8" s="576"/>
      <c r="BA8" s="576"/>
      <c r="BB8" s="576"/>
      <c r="BC8" s="576"/>
      <c r="BD8" s="576"/>
      <c r="BE8" s="576"/>
      <c r="BF8" s="576"/>
      <c r="BG8" s="576"/>
      <c r="BH8" s="576"/>
      <c r="BI8" s="576"/>
      <c r="BJ8" s="576"/>
      <c r="BK8" s="576"/>
      <c r="BL8" s="576"/>
      <c r="BM8" s="576"/>
      <c r="BN8" s="576"/>
      <c r="BO8" s="576"/>
      <c r="BP8" s="576"/>
      <c r="BQ8" s="576"/>
      <c r="BR8" s="576"/>
      <c r="BS8" s="576"/>
      <c r="BT8" s="576"/>
      <c r="BU8" s="576"/>
      <c r="BV8" s="576"/>
      <c r="BW8" s="576"/>
      <c r="BX8" s="577"/>
    </row>
    <row r="9" spans="1:76" ht="23.25" thickBot="1" x14ac:dyDescent="0.25">
      <c r="A9" s="575"/>
      <c r="B9" s="546" t="s">
        <v>890</v>
      </c>
      <c r="C9" s="988"/>
      <c r="D9" s="298" t="s">
        <v>939</v>
      </c>
      <c r="E9" s="299" t="s">
        <v>1162</v>
      </c>
      <c r="F9" s="865"/>
      <c r="G9" s="866"/>
      <c r="H9" s="473"/>
      <c r="I9" s="474"/>
      <c r="J9" s="473"/>
      <c r="K9" s="474"/>
      <c r="L9" s="473"/>
      <c r="M9" s="474"/>
      <c r="N9" s="473"/>
      <c r="O9" s="474"/>
      <c r="P9" s="473"/>
      <c r="Q9" s="474"/>
      <c r="R9" s="473"/>
      <c r="S9" s="474"/>
      <c r="T9" s="473"/>
      <c r="U9" s="474"/>
      <c r="V9" s="473"/>
      <c r="W9" s="474"/>
      <c r="X9" s="473"/>
      <c r="Y9" s="474"/>
      <c r="Z9" s="473"/>
      <c r="AA9" s="474"/>
      <c r="AB9" s="473"/>
      <c r="AC9" s="474"/>
      <c r="AD9" s="473"/>
      <c r="AE9" s="474"/>
      <c r="AF9" s="473"/>
      <c r="AG9" s="474"/>
      <c r="AH9" s="473"/>
      <c r="AI9" s="474"/>
      <c r="AJ9" s="473"/>
      <c r="AK9" s="474"/>
      <c r="AL9" s="473"/>
      <c r="AM9" s="474"/>
      <c r="AN9" s="473"/>
      <c r="AO9" s="474"/>
      <c r="AP9" s="473"/>
      <c r="AQ9" s="474"/>
      <c r="AR9" s="473"/>
      <c r="AS9" s="474"/>
      <c r="AT9" s="247">
        <v>0.14499999999999999</v>
      </c>
      <c r="AU9" s="614" t="s">
        <v>20</v>
      </c>
      <c r="AV9" s="135">
        <f>'Ribassi PE'!$K$27</f>
        <v>7.0000000000000007E-2</v>
      </c>
      <c r="AW9" s="136">
        <f t="shared" si="0"/>
        <v>0.13500000000000001</v>
      </c>
      <c r="AX9" s="135">
        <f>'Ribassi PE'!$M$27</f>
        <v>0.6</v>
      </c>
      <c r="AY9" s="136">
        <f t="shared" si="1"/>
        <v>5.8000000000000003E-2</v>
      </c>
      <c r="AZ9" s="576"/>
      <c r="BA9" s="576"/>
      <c r="BB9" s="576"/>
      <c r="BC9" s="576"/>
      <c r="BD9" s="576"/>
      <c r="BE9" s="576"/>
      <c r="BF9" s="576"/>
      <c r="BG9" s="576"/>
      <c r="BH9" s="576"/>
      <c r="BI9" s="576"/>
      <c r="BJ9" s="576"/>
      <c r="BK9" s="576"/>
      <c r="BL9" s="576"/>
      <c r="BM9" s="576"/>
      <c r="BN9" s="576"/>
      <c r="BO9" s="576"/>
      <c r="BP9" s="576"/>
      <c r="BQ9" s="576"/>
      <c r="BR9" s="576"/>
      <c r="BS9" s="576"/>
      <c r="BT9" s="576"/>
      <c r="BU9" s="576"/>
      <c r="BV9" s="576"/>
      <c r="BW9" s="576"/>
      <c r="BX9" s="577"/>
    </row>
    <row r="10" spans="1:76" ht="23.25" thickBot="1" x14ac:dyDescent="0.25">
      <c r="A10" s="575"/>
      <c r="B10" s="546" t="s">
        <v>891</v>
      </c>
      <c r="C10" s="988"/>
      <c r="D10" s="298" t="s">
        <v>852</v>
      </c>
      <c r="E10" s="299" t="s">
        <v>1162</v>
      </c>
      <c r="F10" s="863"/>
      <c r="G10" s="864"/>
      <c r="H10" s="471"/>
      <c r="I10" s="472"/>
      <c r="J10" s="471"/>
      <c r="K10" s="472"/>
      <c r="L10" s="471"/>
      <c r="M10" s="472"/>
      <c r="N10" s="471"/>
      <c r="O10" s="472"/>
      <c r="P10" s="471"/>
      <c r="Q10" s="472"/>
      <c r="R10" s="471"/>
      <c r="S10" s="472"/>
      <c r="T10" s="471"/>
      <c r="U10" s="472"/>
      <c r="V10" s="471"/>
      <c r="W10" s="472"/>
      <c r="X10" s="471"/>
      <c r="Y10" s="472"/>
      <c r="Z10" s="471"/>
      <c r="AA10" s="472"/>
      <c r="AB10" s="471"/>
      <c r="AC10" s="472"/>
      <c r="AD10" s="471"/>
      <c r="AE10" s="472"/>
      <c r="AF10" s="471"/>
      <c r="AG10" s="472"/>
      <c r="AH10" s="471"/>
      <c r="AI10" s="472"/>
      <c r="AJ10" s="471"/>
      <c r="AK10" s="472"/>
      <c r="AL10" s="471"/>
      <c r="AM10" s="472"/>
      <c r="AN10" s="471"/>
      <c r="AO10" s="472"/>
      <c r="AP10" s="471"/>
      <c r="AQ10" s="472"/>
      <c r="AR10" s="471"/>
      <c r="AS10" s="472"/>
      <c r="AT10" s="164">
        <v>5.5E-2</v>
      </c>
      <c r="AU10" s="614" t="s">
        <v>20</v>
      </c>
      <c r="AV10" s="165">
        <f>'Ribassi PE'!$K$27</f>
        <v>7.0000000000000007E-2</v>
      </c>
      <c r="AW10" s="166">
        <f t="shared" ref="AW10:AW13" si="2">ROUND(AT10*(1-AV10),3)</f>
        <v>5.0999999999999997E-2</v>
      </c>
      <c r="AX10" s="165">
        <f>'Ribassi PE'!$M$27</f>
        <v>0.6</v>
      </c>
      <c r="AY10" s="166">
        <f t="shared" ref="AY10:AY13" si="3">ROUND(AT10*(1-AX10),3)</f>
        <v>2.1999999999999999E-2</v>
      </c>
      <c r="AZ10" s="576"/>
      <c r="BA10" s="576"/>
      <c r="BB10" s="576"/>
      <c r="BC10" s="576"/>
      <c r="BD10" s="576"/>
      <c r="BE10" s="576"/>
      <c r="BF10" s="576"/>
      <c r="BG10" s="576"/>
      <c r="BH10" s="576"/>
      <c r="BI10" s="576"/>
      <c r="BJ10" s="576"/>
      <c r="BK10" s="576"/>
      <c r="BL10" s="576"/>
      <c r="BM10" s="576"/>
      <c r="BN10" s="576"/>
      <c r="BO10" s="576"/>
      <c r="BP10" s="576"/>
      <c r="BQ10" s="576"/>
      <c r="BR10" s="576"/>
      <c r="BS10" s="576"/>
      <c r="BT10" s="576"/>
      <c r="BU10" s="576"/>
      <c r="BV10" s="576"/>
      <c r="BW10" s="576"/>
      <c r="BX10" s="577"/>
    </row>
    <row r="11" spans="1:76" ht="23.25" thickBot="1" x14ac:dyDescent="0.25">
      <c r="A11" s="575"/>
      <c r="B11" s="546" t="s">
        <v>892</v>
      </c>
      <c r="C11" s="988"/>
      <c r="D11" s="298" t="s">
        <v>851</v>
      </c>
      <c r="E11" s="299" t="s">
        <v>1162</v>
      </c>
      <c r="F11" s="865"/>
      <c r="G11" s="864"/>
      <c r="H11" s="473"/>
      <c r="I11" s="474"/>
      <c r="J11" s="473"/>
      <c r="K11" s="474"/>
      <c r="L11" s="473"/>
      <c r="M11" s="474"/>
      <c r="N11" s="473"/>
      <c r="O11" s="474"/>
      <c r="P11" s="473"/>
      <c r="Q11" s="474"/>
      <c r="R11" s="473"/>
      <c r="S11" s="474"/>
      <c r="T11" s="473"/>
      <c r="U11" s="474"/>
      <c r="V11" s="473"/>
      <c r="W11" s="474"/>
      <c r="X11" s="473"/>
      <c r="Y11" s="474"/>
      <c r="Z11" s="473"/>
      <c r="AA11" s="474"/>
      <c r="AB11" s="473"/>
      <c r="AC11" s="474"/>
      <c r="AD11" s="473"/>
      <c r="AE11" s="474"/>
      <c r="AF11" s="473"/>
      <c r="AG11" s="474"/>
      <c r="AH11" s="473"/>
      <c r="AI11" s="474"/>
      <c r="AJ11" s="473"/>
      <c r="AK11" s="474"/>
      <c r="AL11" s="473"/>
      <c r="AM11" s="474"/>
      <c r="AN11" s="473"/>
      <c r="AO11" s="474"/>
      <c r="AP11" s="473"/>
      <c r="AQ11" s="474"/>
      <c r="AR11" s="473"/>
      <c r="AS11" s="474"/>
      <c r="AT11" s="247">
        <v>1.7999999999999999E-2</v>
      </c>
      <c r="AU11" s="614" t="s">
        <v>20</v>
      </c>
      <c r="AV11" s="135">
        <f>'Ribassi PE'!$K$27</f>
        <v>7.0000000000000007E-2</v>
      </c>
      <c r="AW11" s="136">
        <f t="shared" si="2"/>
        <v>1.7000000000000001E-2</v>
      </c>
      <c r="AX11" s="135">
        <f>'Ribassi PE'!$M$27</f>
        <v>0.6</v>
      </c>
      <c r="AY11" s="136">
        <f t="shared" si="3"/>
        <v>7.0000000000000001E-3</v>
      </c>
      <c r="AZ11" s="576"/>
      <c r="BA11" s="576"/>
      <c r="BB11" s="576"/>
      <c r="BC11" s="576"/>
      <c r="BD11" s="576"/>
      <c r="BE11" s="576"/>
      <c r="BF11" s="576"/>
      <c r="BG11" s="576"/>
      <c r="BH11" s="576"/>
      <c r="BI11" s="576"/>
      <c r="BJ11" s="576"/>
      <c r="BK11" s="576"/>
      <c r="BL11" s="576"/>
      <c r="BM11" s="576"/>
      <c r="BN11" s="576"/>
      <c r="BO11" s="576"/>
      <c r="BP11" s="576"/>
      <c r="BQ11" s="576"/>
      <c r="BR11" s="576"/>
      <c r="BS11" s="576"/>
      <c r="BT11" s="576"/>
      <c r="BU11" s="576"/>
      <c r="BV11" s="576"/>
      <c r="BW11" s="576"/>
      <c r="BX11" s="577"/>
    </row>
    <row r="12" spans="1:76" ht="23.25" thickBot="1" x14ac:dyDescent="0.25">
      <c r="A12" s="575"/>
      <c r="B12" s="547" t="s">
        <v>893</v>
      </c>
      <c r="C12" s="989"/>
      <c r="D12" s="300" t="s">
        <v>868</v>
      </c>
      <c r="E12" s="301" t="s">
        <v>1162</v>
      </c>
      <c r="F12" s="867"/>
      <c r="G12" s="868"/>
      <c r="H12" s="475"/>
      <c r="I12" s="476"/>
      <c r="J12" s="475"/>
      <c r="K12" s="476"/>
      <c r="L12" s="475"/>
      <c r="M12" s="476"/>
      <c r="N12" s="475"/>
      <c r="O12" s="476"/>
      <c r="P12" s="475"/>
      <c r="Q12" s="476"/>
      <c r="R12" s="475"/>
      <c r="S12" s="476"/>
      <c r="T12" s="475"/>
      <c r="U12" s="476"/>
      <c r="V12" s="475"/>
      <c r="W12" s="476"/>
      <c r="X12" s="475"/>
      <c r="Y12" s="476"/>
      <c r="Z12" s="475"/>
      <c r="AA12" s="476"/>
      <c r="AB12" s="475"/>
      <c r="AC12" s="476"/>
      <c r="AD12" s="475"/>
      <c r="AE12" s="476"/>
      <c r="AF12" s="475"/>
      <c r="AG12" s="476"/>
      <c r="AH12" s="475"/>
      <c r="AI12" s="476"/>
      <c r="AJ12" s="475"/>
      <c r="AK12" s="476"/>
      <c r="AL12" s="475"/>
      <c r="AM12" s="476"/>
      <c r="AN12" s="475"/>
      <c r="AO12" s="476"/>
      <c r="AP12" s="475"/>
      <c r="AQ12" s="476"/>
      <c r="AR12" s="475"/>
      <c r="AS12" s="476"/>
      <c r="AT12" s="251">
        <v>3.5999999999999997E-2</v>
      </c>
      <c r="AU12" s="615" t="s">
        <v>20</v>
      </c>
      <c r="AV12" s="138">
        <f>'Ribassi PE'!$K$27</f>
        <v>7.0000000000000007E-2</v>
      </c>
      <c r="AW12" s="252">
        <f t="shared" si="2"/>
        <v>3.3000000000000002E-2</v>
      </c>
      <c r="AX12" s="138">
        <f>'Ribassi PE'!$M$27</f>
        <v>0.6</v>
      </c>
      <c r="AY12" s="252">
        <f t="shared" si="3"/>
        <v>1.4E-2</v>
      </c>
      <c r="AZ12" s="576"/>
      <c r="BA12" s="576"/>
      <c r="BB12" s="576"/>
      <c r="BC12" s="576"/>
      <c r="BD12" s="576"/>
      <c r="BE12" s="576"/>
      <c r="BF12" s="576"/>
      <c r="BG12" s="576"/>
      <c r="BH12" s="576"/>
      <c r="BI12" s="576"/>
      <c r="BJ12" s="576"/>
      <c r="BK12" s="576"/>
      <c r="BL12" s="576"/>
      <c r="BM12" s="576"/>
      <c r="BN12" s="576"/>
      <c r="BO12" s="576"/>
      <c r="BP12" s="576"/>
      <c r="BQ12" s="576"/>
      <c r="BR12" s="576"/>
      <c r="BS12" s="576"/>
      <c r="BT12" s="576"/>
      <c r="BU12" s="576"/>
      <c r="BV12" s="576"/>
      <c r="BW12" s="576"/>
      <c r="BX12" s="577"/>
    </row>
    <row r="13" spans="1:76" ht="23.25" thickBot="1" x14ac:dyDescent="0.25">
      <c r="A13" s="575"/>
      <c r="B13" s="545" t="s">
        <v>894</v>
      </c>
      <c r="C13" s="986" t="s">
        <v>849</v>
      </c>
      <c r="D13" s="302" t="s">
        <v>856</v>
      </c>
      <c r="E13" s="303" t="s">
        <v>1163</v>
      </c>
      <c r="F13" s="869">
        <f>50-6</f>
        <v>44</v>
      </c>
      <c r="G13" s="870">
        <v>260</v>
      </c>
      <c r="H13" s="477"/>
      <c r="I13" s="478"/>
      <c r="J13" s="477"/>
      <c r="K13" s="478"/>
      <c r="L13" s="477"/>
      <c r="M13" s="478"/>
      <c r="N13" s="477"/>
      <c r="O13" s="478"/>
      <c r="P13" s="477"/>
      <c r="Q13" s="478"/>
      <c r="R13" s="477"/>
      <c r="S13" s="478"/>
      <c r="T13" s="477"/>
      <c r="U13" s="478"/>
      <c r="V13" s="477"/>
      <c r="W13" s="478"/>
      <c r="X13" s="477"/>
      <c r="Y13" s="478"/>
      <c r="Z13" s="477"/>
      <c r="AA13" s="478"/>
      <c r="AB13" s="477"/>
      <c r="AC13" s="478"/>
      <c r="AD13" s="477"/>
      <c r="AE13" s="478"/>
      <c r="AF13" s="477"/>
      <c r="AG13" s="478"/>
      <c r="AH13" s="477"/>
      <c r="AI13" s="478"/>
      <c r="AJ13" s="477"/>
      <c r="AK13" s="478"/>
      <c r="AL13" s="477"/>
      <c r="AM13" s="478"/>
      <c r="AN13" s="477"/>
      <c r="AO13" s="478"/>
      <c r="AP13" s="477"/>
      <c r="AQ13" s="478"/>
      <c r="AR13" s="477"/>
      <c r="AS13" s="478"/>
      <c r="AT13" s="289">
        <v>0.182</v>
      </c>
      <c r="AU13" s="613" t="s">
        <v>20</v>
      </c>
      <c r="AV13" s="249">
        <f>'Ribassi PE'!$K$27</f>
        <v>7.0000000000000007E-2</v>
      </c>
      <c r="AW13" s="250">
        <f t="shared" si="2"/>
        <v>0.16900000000000001</v>
      </c>
      <c r="AX13" s="249">
        <f>'Ribassi PE'!$M$27</f>
        <v>0.6</v>
      </c>
      <c r="AY13" s="250">
        <f t="shared" si="3"/>
        <v>7.2999999999999995E-2</v>
      </c>
      <c r="AZ13" s="576"/>
      <c r="BA13" s="576"/>
      <c r="BB13" s="576"/>
      <c r="BC13" s="576"/>
      <c r="BD13" s="576"/>
      <c r="BE13" s="576"/>
      <c r="BF13" s="576"/>
      <c r="BG13" s="576"/>
      <c r="BH13" s="576"/>
      <c r="BI13" s="576"/>
      <c r="BJ13" s="576"/>
      <c r="BK13" s="576"/>
      <c r="BL13" s="576"/>
      <c r="BM13" s="576"/>
      <c r="BN13" s="576"/>
      <c r="BO13" s="576"/>
      <c r="BP13" s="576"/>
      <c r="BQ13" s="576"/>
      <c r="BR13" s="576"/>
      <c r="BS13" s="576"/>
      <c r="BT13" s="576"/>
      <c r="BU13" s="576"/>
      <c r="BV13" s="576"/>
      <c r="BW13" s="576"/>
      <c r="BX13" s="577"/>
    </row>
    <row r="14" spans="1:76" ht="23.25" thickBot="1" x14ac:dyDescent="0.25">
      <c r="A14" s="575"/>
      <c r="B14" s="547" t="s">
        <v>895</v>
      </c>
      <c r="C14" s="989"/>
      <c r="D14" s="304" t="s">
        <v>940</v>
      </c>
      <c r="E14" s="301" t="s">
        <v>1163</v>
      </c>
      <c r="F14" s="867"/>
      <c r="G14" s="868"/>
      <c r="H14" s="475"/>
      <c r="I14" s="476"/>
      <c r="J14" s="475"/>
      <c r="K14" s="476"/>
      <c r="L14" s="475"/>
      <c r="M14" s="476"/>
      <c r="N14" s="475"/>
      <c r="O14" s="476"/>
      <c r="P14" s="475"/>
      <c r="Q14" s="476"/>
      <c r="R14" s="475"/>
      <c r="S14" s="476"/>
      <c r="T14" s="475"/>
      <c r="U14" s="476"/>
      <c r="V14" s="475"/>
      <c r="W14" s="476"/>
      <c r="X14" s="475"/>
      <c r="Y14" s="476"/>
      <c r="Z14" s="475"/>
      <c r="AA14" s="476"/>
      <c r="AB14" s="475"/>
      <c r="AC14" s="476"/>
      <c r="AD14" s="475"/>
      <c r="AE14" s="476"/>
      <c r="AF14" s="475"/>
      <c r="AG14" s="476"/>
      <c r="AH14" s="475"/>
      <c r="AI14" s="476"/>
      <c r="AJ14" s="475"/>
      <c r="AK14" s="476"/>
      <c r="AL14" s="475"/>
      <c r="AM14" s="476"/>
      <c r="AN14" s="475"/>
      <c r="AO14" s="476"/>
      <c r="AP14" s="475"/>
      <c r="AQ14" s="476"/>
      <c r="AR14" s="475"/>
      <c r="AS14" s="476"/>
      <c r="AT14" s="251">
        <v>0.72799999999999998</v>
      </c>
      <c r="AU14" s="615" t="s">
        <v>20</v>
      </c>
      <c r="AV14" s="138">
        <f>'Ribassi PE'!$K$27</f>
        <v>7.0000000000000007E-2</v>
      </c>
      <c r="AW14" s="252">
        <f t="shared" ref="AW14:AW21" si="4">ROUND(AT14*(1-AV14),3)</f>
        <v>0.67700000000000005</v>
      </c>
      <c r="AX14" s="138">
        <f>'Ribassi PE'!$M$27</f>
        <v>0.6</v>
      </c>
      <c r="AY14" s="252">
        <f t="shared" ref="AY14:AY21" si="5">ROUND(AT14*(1-AX14),3)</f>
        <v>0.29099999999999998</v>
      </c>
      <c r="AZ14" s="576"/>
      <c r="BA14" s="576"/>
      <c r="BB14" s="576"/>
      <c r="BC14" s="576"/>
      <c r="BD14" s="576"/>
      <c r="BE14" s="576"/>
      <c r="BF14" s="576"/>
      <c r="BG14" s="576"/>
      <c r="BH14" s="576"/>
      <c r="BI14" s="576"/>
      <c r="BJ14" s="576"/>
      <c r="BK14" s="576"/>
      <c r="BL14" s="576"/>
      <c r="BM14" s="576"/>
      <c r="BN14" s="576"/>
      <c r="BO14" s="576"/>
      <c r="BP14" s="576"/>
      <c r="BQ14" s="576"/>
      <c r="BR14" s="576"/>
      <c r="BS14" s="576"/>
      <c r="BT14" s="576"/>
      <c r="BU14" s="576"/>
      <c r="BV14" s="576"/>
      <c r="BW14" s="576"/>
      <c r="BX14" s="577"/>
    </row>
    <row r="15" spans="1:76" ht="12" thickBot="1" x14ac:dyDescent="0.25">
      <c r="A15" s="575"/>
      <c r="B15" s="305" t="s">
        <v>896</v>
      </c>
      <c r="C15" s="1018" t="s">
        <v>846</v>
      </c>
      <c r="D15" s="302" t="s">
        <v>941</v>
      </c>
      <c r="E15" s="303" t="s">
        <v>1163</v>
      </c>
      <c r="F15" s="869"/>
      <c r="G15" s="870"/>
      <c r="H15" s="477"/>
      <c r="I15" s="478"/>
      <c r="J15" s="477"/>
      <c r="K15" s="478"/>
      <c r="L15" s="477"/>
      <c r="M15" s="478"/>
      <c r="N15" s="477"/>
      <c r="O15" s="478"/>
      <c r="P15" s="477"/>
      <c r="Q15" s="478"/>
      <c r="R15" s="477"/>
      <c r="S15" s="478"/>
      <c r="T15" s="477"/>
      <c r="U15" s="478"/>
      <c r="V15" s="477"/>
      <c r="W15" s="478"/>
      <c r="X15" s="477"/>
      <c r="Y15" s="478"/>
      <c r="Z15" s="477"/>
      <c r="AA15" s="478"/>
      <c r="AB15" s="477"/>
      <c r="AC15" s="478"/>
      <c r="AD15" s="477"/>
      <c r="AE15" s="478"/>
      <c r="AF15" s="477"/>
      <c r="AG15" s="478"/>
      <c r="AH15" s="477"/>
      <c r="AI15" s="478"/>
      <c r="AJ15" s="477"/>
      <c r="AK15" s="478"/>
      <c r="AL15" s="477"/>
      <c r="AM15" s="478"/>
      <c r="AN15" s="477"/>
      <c r="AO15" s="478"/>
      <c r="AP15" s="477"/>
      <c r="AQ15" s="478"/>
      <c r="AR15" s="477"/>
      <c r="AS15" s="478"/>
      <c r="AT15" s="289">
        <v>0.182</v>
      </c>
      <c r="AU15" s="613" t="s">
        <v>20</v>
      </c>
      <c r="AV15" s="249">
        <f>'Ribassi PE'!$K$27</f>
        <v>7.0000000000000007E-2</v>
      </c>
      <c r="AW15" s="250">
        <f t="shared" si="4"/>
        <v>0.16900000000000001</v>
      </c>
      <c r="AX15" s="249">
        <f>'Ribassi PE'!$M$27</f>
        <v>0.6</v>
      </c>
      <c r="AY15" s="250">
        <f t="shared" si="5"/>
        <v>7.2999999999999995E-2</v>
      </c>
      <c r="AZ15" s="576"/>
      <c r="BA15" s="576"/>
      <c r="BB15" s="576"/>
      <c r="BC15" s="576"/>
      <c r="BD15" s="576"/>
      <c r="BE15" s="576"/>
      <c r="BF15" s="576"/>
      <c r="BG15" s="576"/>
      <c r="BH15" s="576"/>
      <c r="BI15" s="576"/>
      <c r="BJ15" s="576"/>
      <c r="BK15" s="576"/>
      <c r="BL15" s="576"/>
      <c r="BM15" s="576"/>
      <c r="BN15" s="576"/>
      <c r="BO15" s="576"/>
      <c r="BP15" s="576"/>
      <c r="BQ15" s="576"/>
      <c r="BR15" s="576"/>
      <c r="BS15" s="576"/>
      <c r="BT15" s="576"/>
      <c r="BU15" s="576"/>
      <c r="BV15" s="576"/>
      <c r="BW15" s="576"/>
      <c r="BX15" s="577"/>
    </row>
    <row r="16" spans="1:76" ht="34.5" thickBot="1" x14ac:dyDescent="0.25">
      <c r="A16" s="575"/>
      <c r="B16" s="306" t="s">
        <v>897</v>
      </c>
      <c r="C16" s="1019"/>
      <c r="D16" s="298" t="s">
        <v>863</v>
      </c>
      <c r="E16" s="299" t="s">
        <v>1163</v>
      </c>
      <c r="F16" s="863"/>
      <c r="G16" s="864"/>
      <c r="H16" s="471"/>
      <c r="I16" s="472"/>
      <c r="J16" s="471"/>
      <c r="K16" s="472"/>
      <c r="L16" s="471"/>
      <c r="M16" s="472"/>
      <c r="N16" s="471"/>
      <c r="O16" s="472"/>
      <c r="P16" s="471"/>
      <c r="Q16" s="472"/>
      <c r="R16" s="471"/>
      <c r="S16" s="472"/>
      <c r="T16" s="471"/>
      <c r="U16" s="472"/>
      <c r="V16" s="471"/>
      <c r="W16" s="472"/>
      <c r="X16" s="471"/>
      <c r="Y16" s="472"/>
      <c r="Z16" s="471"/>
      <c r="AA16" s="472"/>
      <c r="AB16" s="471"/>
      <c r="AC16" s="472"/>
      <c r="AD16" s="471"/>
      <c r="AE16" s="472"/>
      <c r="AF16" s="471"/>
      <c r="AG16" s="472"/>
      <c r="AH16" s="471"/>
      <c r="AI16" s="472"/>
      <c r="AJ16" s="471"/>
      <c r="AK16" s="472"/>
      <c r="AL16" s="471"/>
      <c r="AM16" s="472"/>
      <c r="AN16" s="471"/>
      <c r="AO16" s="472"/>
      <c r="AP16" s="471"/>
      <c r="AQ16" s="472"/>
      <c r="AR16" s="471"/>
      <c r="AS16" s="472"/>
      <c r="AT16" s="164">
        <v>0.374</v>
      </c>
      <c r="AU16" s="614" t="s">
        <v>20</v>
      </c>
      <c r="AV16" s="165">
        <f>'Ribassi PE'!$K$27</f>
        <v>7.0000000000000007E-2</v>
      </c>
      <c r="AW16" s="166">
        <f t="shared" si="4"/>
        <v>0.34799999999999998</v>
      </c>
      <c r="AX16" s="165">
        <f>'Ribassi PE'!$M$27</f>
        <v>0.6</v>
      </c>
      <c r="AY16" s="166">
        <f t="shared" si="5"/>
        <v>0.15</v>
      </c>
      <c r="AZ16" s="576"/>
      <c r="BA16" s="576"/>
      <c r="BB16" s="576"/>
      <c r="BC16" s="576"/>
      <c r="BD16" s="576"/>
      <c r="BE16" s="576"/>
      <c r="BF16" s="576"/>
      <c r="BG16" s="576"/>
      <c r="BH16" s="576"/>
      <c r="BI16" s="576"/>
      <c r="BJ16" s="576"/>
      <c r="BK16" s="576"/>
      <c r="BL16" s="576"/>
      <c r="BM16" s="576"/>
      <c r="BN16" s="576"/>
      <c r="BO16" s="576"/>
      <c r="BP16" s="576"/>
      <c r="BQ16" s="576"/>
      <c r="BR16" s="576"/>
      <c r="BS16" s="576"/>
      <c r="BT16" s="576"/>
      <c r="BU16" s="576"/>
      <c r="BV16" s="576"/>
      <c r="BW16" s="576"/>
      <c r="BX16" s="577"/>
    </row>
    <row r="17" spans="1:76" ht="12" thickBot="1" x14ac:dyDescent="0.25">
      <c r="A17" s="575"/>
      <c r="B17" s="306" t="s">
        <v>898</v>
      </c>
      <c r="C17" s="1019"/>
      <c r="D17" s="298" t="s">
        <v>942</v>
      </c>
      <c r="E17" s="299" t="s">
        <v>1163</v>
      </c>
      <c r="F17" s="865"/>
      <c r="G17" s="866"/>
      <c r="H17" s="473"/>
      <c r="I17" s="474"/>
      <c r="J17" s="473"/>
      <c r="K17" s="474"/>
      <c r="L17" s="473"/>
      <c r="M17" s="474"/>
      <c r="N17" s="473"/>
      <c r="O17" s="474"/>
      <c r="P17" s="473"/>
      <c r="Q17" s="474"/>
      <c r="R17" s="473"/>
      <c r="S17" s="474"/>
      <c r="T17" s="473"/>
      <c r="U17" s="474"/>
      <c r="V17" s="473"/>
      <c r="W17" s="474"/>
      <c r="X17" s="473"/>
      <c r="Y17" s="474"/>
      <c r="Z17" s="473"/>
      <c r="AA17" s="474"/>
      <c r="AB17" s="473"/>
      <c r="AC17" s="474"/>
      <c r="AD17" s="473"/>
      <c r="AE17" s="474"/>
      <c r="AF17" s="473"/>
      <c r="AG17" s="474"/>
      <c r="AH17" s="473"/>
      <c r="AI17" s="474"/>
      <c r="AJ17" s="473"/>
      <c r="AK17" s="474"/>
      <c r="AL17" s="473"/>
      <c r="AM17" s="474"/>
      <c r="AN17" s="473"/>
      <c r="AO17" s="474"/>
      <c r="AP17" s="473"/>
      <c r="AQ17" s="474"/>
      <c r="AR17" s="473"/>
      <c r="AS17" s="474"/>
      <c r="AT17" s="247">
        <v>2.73</v>
      </c>
      <c r="AU17" s="614" t="s">
        <v>20</v>
      </c>
      <c r="AV17" s="135">
        <f>'Ribassi PE'!$K$27</f>
        <v>7.0000000000000007E-2</v>
      </c>
      <c r="AW17" s="136">
        <f t="shared" si="4"/>
        <v>2.5390000000000001</v>
      </c>
      <c r="AX17" s="135">
        <f>'Ribassi PE'!$M$27</f>
        <v>0.6</v>
      </c>
      <c r="AY17" s="136">
        <f t="shared" si="5"/>
        <v>1.0920000000000001</v>
      </c>
      <c r="AZ17" s="576"/>
      <c r="BA17" s="576"/>
      <c r="BB17" s="576"/>
      <c r="BC17" s="576"/>
      <c r="BD17" s="576"/>
      <c r="BE17" s="576"/>
      <c r="BF17" s="576"/>
      <c r="BG17" s="576"/>
      <c r="BH17" s="576"/>
      <c r="BI17" s="576"/>
      <c r="BJ17" s="576"/>
      <c r="BK17" s="576"/>
      <c r="BL17" s="576"/>
      <c r="BM17" s="576"/>
      <c r="BN17" s="576"/>
      <c r="BO17" s="576"/>
      <c r="BP17" s="576"/>
      <c r="BQ17" s="576"/>
      <c r="BR17" s="576"/>
      <c r="BS17" s="576"/>
      <c r="BT17" s="576"/>
      <c r="BU17" s="576"/>
      <c r="BV17" s="576"/>
      <c r="BW17" s="576"/>
      <c r="BX17" s="577"/>
    </row>
    <row r="18" spans="1:76" ht="12" thickBot="1" x14ac:dyDescent="0.25">
      <c r="A18" s="575"/>
      <c r="B18" s="306" t="s">
        <v>899</v>
      </c>
      <c r="C18" s="1019"/>
      <c r="D18" s="307" t="s">
        <v>943</v>
      </c>
      <c r="E18" s="299" t="s">
        <v>1163</v>
      </c>
      <c r="F18" s="863"/>
      <c r="G18" s="864"/>
      <c r="H18" s="471"/>
      <c r="I18" s="472"/>
      <c r="J18" s="471"/>
      <c r="K18" s="472"/>
      <c r="L18" s="471"/>
      <c r="M18" s="472"/>
      <c r="N18" s="471"/>
      <c r="O18" s="472"/>
      <c r="P18" s="471"/>
      <c r="Q18" s="472"/>
      <c r="R18" s="471"/>
      <c r="S18" s="472"/>
      <c r="T18" s="471"/>
      <c r="U18" s="472"/>
      <c r="V18" s="471"/>
      <c r="W18" s="472"/>
      <c r="X18" s="471"/>
      <c r="Y18" s="472"/>
      <c r="Z18" s="471"/>
      <c r="AA18" s="472"/>
      <c r="AB18" s="471"/>
      <c r="AC18" s="472"/>
      <c r="AD18" s="471"/>
      <c r="AE18" s="472"/>
      <c r="AF18" s="471"/>
      <c r="AG18" s="472"/>
      <c r="AH18" s="471"/>
      <c r="AI18" s="472"/>
      <c r="AJ18" s="471"/>
      <c r="AK18" s="472"/>
      <c r="AL18" s="471"/>
      <c r="AM18" s="472"/>
      <c r="AN18" s="471"/>
      <c r="AO18" s="472"/>
      <c r="AP18" s="471"/>
      <c r="AQ18" s="472"/>
      <c r="AR18" s="471"/>
      <c r="AS18" s="472"/>
      <c r="AT18" s="164">
        <v>0.72799999999999998</v>
      </c>
      <c r="AU18" s="614" t="s">
        <v>20</v>
      </c>
      <c r="AV18" s="165">
        <f>'Ribassi PE'!$K$27</f>
        <v>7.0000000000000007E-2</v>
      </c>
      <c r="AW18" s="166">
        <f t="shared" si="4"/>
        <v>0.67700000000000005</v>
      </c>
      <c r="AX18" s="165">
        <f>'Ribassi PE'!$M$27</f>
        <v>0.6</v>
      </c>
      <c r="AY18" s="166">
        <f t="shared" si="5"/>
        <v>0.29099999999999998</v>
      </c>
      <c r="AZ18" s="576"/>
      <c r="BA18" s="576"/>
      <c r="BB18" s="576"/>
      <c r="BC18" s="576"/>
      <c r="BD18" s="576"/>
      <c r="BE18" s="576"/>
      <c r="BF18" s="576"/>
      <c r="BG18" s="576"/>
      <c r="BH18" s="576"/>
      <c r="BI18" s="576"/>
      <c r="BJ18" s="576"/>
      <c r="BK18" s="576"/>
      <c r="BL18" s="576"/>
      <c r="BM18" s="576"/>
      <c r="BN18" s="576"/>
      <c r="BO18" s="576"/>
      <c r="BP18" s="576"/>
      <c r="BQ18" s="576"/>
      <c r="BR18" s="576"/>
      <c r="BS18" s="576"/>
      <c r="BT18" s="576"/>
      <c r="BU18" s="576"/>
      <c r="BV18" s="576"/>
      <c r="BW18" s="576"/>
      <c r="BX18" s="577"/>
    </row>
    <row r="19" spans="1:76" ht="12" thickBot="1" x14ac:dyDescent="0.25">
      <c r="A19" s="575"/>
      <c r="B19" s="306" t="s">
        <v>900</v>
      </c>
      <c r="C19" s="1019"/>
      <c r="D19" s="307" t="s">
        <v>944</v>
      </c>
      <c r="E19" s="299" t="s">
        <v>1163</v>
      </c>
      <c r="F19" s="865"/>
      <c r="G19" s="866"/>
      <c r="H19" s="473"/>
      <c r="I19" s="474"/>
      <c r="J19" s="473"/>
      <c r="K19" s="474"/>
      <c r="L19" s="473"/>
      <c r="M19" s="474"/>
      <c r="N19" s="473"/>
      <c r="O19" s="474"/>
      <c r="P19" s="473"/>
      <c r="Q19" s="474"/>
      <c r="R19" s="473"/>
      <c r="S19" s="474"/>
      <c r="T19" s="473"/>
      <c r="U19" s="474"/>
      <c r="V19" s="473"/>
      <c r="W19" s="474"/>
      <c r="X19" s="473"/>
      <c r="Y19" s="474"/>
      <c r="Z19" s="473"/>
      <c r="AA19" s="474"/>
      <c r="AB19" s="473"/>
      <c r="AC19" s="474"/>
      <c r="AD19" s="473"/>
      <c r="AE19" s="474"/>
      <c r="AF19" s="473"/>
      <c r="AG19" s="474"/>
      <c r="AH19" s="473"/>
      <c r="AI19" s="474"/>
      <c r="AJ19" s="473"/>
      <c r="AK19" s="474"/>
      <c r="AL19" s="473"/>
      <c r="AM19" s="474"/>
      <c r="AN19" s="473"/>
      <c r="AO19" s="474"/>
      <c r="AP19" s="473"/>
      <c r="AQ19" s="474"/>
      <c r="AR19" s="473"/>
      <c r="AS19" s="474"/>
      <c r="AT19" s="247">
        <v>0.36399999999999999</v>
      </c>
      <c r="AU19" s="614" t="s">
        <v>20</v>
      </c>
      <c r="AV19" s="135">
        <f>'Ribassi PE'!$K$27</f>
        <v>7.0000000000000007E-2</v>
      </c>
      <c r="AW19" s="136">
        <f t="shared" si="4"/>
        <v>0.33900000000000002</v>
      </c>
      <c r="AX19" s="135">
        <f>'Ribassi PE'!$M$27</f>
        <v>0.6</v>
      </c>
      <c r="AY19" s="136">
        <f t="shared" si="5"/>
        <v>0.14599999999999999</v>
      </c>
      <c r="AZ19" s="576"/>
      <c r="BA19" s="576"/>
      <c r="BB19" s="576"/>
      <c r="BC19" s="576"/>
      <c r="BD19" s="576"/>
      <c r="BE19" s="576"/>
      <c r="BF19" s="576"/>
      <c r="BG19" s="576"/>
      <c r="BH19" s="576"/>
      <c r="BI19" s="576"/>
      <c r="BJ19" s="576"/>
      <c r="BK19" s="576"/>
      <c r="BL19" s="576"/>
      <c r="BM19" s="576"/>
      <c r="BN19" s="576"/>
      <c r="BO19" s="576"/>
      <c r="BP19" s="576"/>
      <c r="BQ19" s="576"/>
      <c r="BR19" s="576"/>
      <c r="BS19" s="576"/>
      <c r="BT19" s="576"/>
      <c r="BU19" s="576"/>
      <c r="BV19" s="576"/>
      <c r="BW19" s="576"/>
      <c r="BX19" s="577"/>
    </row>
    <row r="20" spans="1:76" ht="34.5" thickBot="1" x14ac:dyDescent="0.25">
      <c r="A20" s="575"/>
      <c r="B20" s="306" t="s">
        <v>901</v>
      </c>
      <c r="C20" s="1019"/>
      <c r="D20" s="308" t="s">
        <v>853</v>
      </c>
      <c r="E20" s="282" t="s">
        <v>1163</v>
      </c>
      <c r="F20" s="863"/>
      <c r="G20" s="864"/>
      <c r="H20" s="471"/>
      <c r="I20" s="472"/>
      <c r="J20" s="471"/>
      <c r="K20" s="472"/>
      <c r="L20" s="471"/>
      <c r="M20" s="472"/>
      <c r="N20" s="471"/>
      <c r="O20" s="472"/>
      <c r="P20" s="471"/>
      <c r="Q20" s="472"/>
      <c r="R20" s="471"/>
      <c r="S20" s="472"/>
      <c r="T20" s="471"/>
      <c r="U20" s="472"/>
      <c r="V20" s="471"/>
      <c r="W20" s="472"/>
      <c r="X20" s="471"/>
      <c r="Y20" s="472"/>
      <c r="Z20" s="471"/>
      <c r="AA20" s="472"/>
      <c r="AB20" s="471"/>
      <c r="AC20" s="472"/>
      <c r="AD20" s="471"/>
      <c r="AE20" s="472"/>
      <c r="AF20" s="471"/>
      <c r="AG20" s="472"/>
      <c r="AH20" s="471"/>
      <c r="AI20" s="472"/>
      <c r="AJ20" s="471"/>
      <c r="AK20" s="472"/>
      <c r="AL20" s="471"/>
      <c r="AM20" s="472"/>
      <c r="AN20" s="471"/>
      <c r="AO20" s="472"/>
      <c r="AP20" s="471"/>
      <c r="AQ20" s="472"/>
      <c r="AR20" s="471"/>
      <c r="AS20" s="472"/>
      <c r="AT20" s="164">
        <v>0.874</v>
      </c>
      <c r="AU20" s="614" t="s">
        <v>20</v>
      </c>
      <c r="AV20" s="165">
        <f>'Ribassi PE'!$K$27</f>
        <v>7.0000000000000007E-2</v>
      </c>
      <c r="AW20" s="166">
        <f t="shared" si="4"/>
        <v>0.81299999999999994</v>
      </c>
      <c r="AX20" s="165">
        <f>'Ribassi PE'!$M$27</f>
        <v>0.6</v>
      </c>
      <c r="AY20" s="166">
        <f t="shared" si="5"/>
        <v>0.35</v>
      </c>
      <c r="AZ20" s="576"/>
      <c r="BA20" s="576"/>
      <c r="BB20" s="576"/>
      <c r="BC20" s="576"/>
      <c r="BD20" s="576"/>
      <c r="BE20" s="576"/>
      <c r="BF20" s="576"/>
      <c r="BG20" s="576"/>
      <c r="BH20" s="576"/>
      <c r="BI20" s="576"/>
      <c r="BJ20" s="576"/>
      <c r="BK20" s="576"/>
      <c r="BL20" s="576"/>
      <c r="BM20" s="576"/>
      <c r="BN20" s="576"/>
      <c r="BO20" s="576"/>
      <c r="BP20" s="576"/>
      <c r="BQ20" s="576"/>
      <c r="BR20" s="576"/>
      <c r="BS20" s="576"/>
      <c r="BT20" s="576"/>
      <c r="BU20" s="576"/>
      <c r="BV20" s="576"/>
      <c r="BW20" s="576"/>
      <c r="BX20" s="577"/>
    </row>
    <row r="21" spans="1:76" ht="23.25" thickBot="1" x14ac:dyDescent="0.25">
      <c r="A21" s="575"/>
      <c r="B21" s="306" t="s">
        <v>902</v>
      </c>
      <c r="C21" s="1019"/>
      <c r="D21" s="298" t="s">
        <v>945</v>
      </c>
      <c r="E21" s="299" t="s">
        <v>1163</v>
      </c>
      <c r="F21" s="865"/>
      <c r="G21" s="866"/>
      <c r="H21" s="473"/>
      <c r="I21" s="474"/>
      <c r="J21" s="473"/>
      <c r="K21" s="474"/>
      <c r="L21" s="473"/>
      <c r="M21" s="474"/>
      <c r="N21" s="473"/>
      <c r="O21" s="474"/>
      <c r="P21" s="473"/>
      <c r="Q21" s="474"/>
      <c r="R21" s="473"/>
      <c r="S21" s="474"/>
      <c r="T21" s="473"/>
      <c r="U21" s="474"/>
      <c r="V21" s="473"/>
      <c r="W21" s="474"/>
      <c r="X21" s="473"/>
      <c r="Y21" s="474"/>
      <c r="Z21" s="473"/>
      <c r="AA21" s="474"/>
      <c r="AB21" s="473"/>
      <c r="AC21" s="474"/>
      <c r="AD21" s="473"/>
      <c r="AE21" s="474"/>
      <c r="AF21" s="473"/>
      <c r="AG21" s="474"/>
      <c r="AH21" s="473"/>
      <c r="AI21" s="474"/>
      <c r="AJ21" s="473"/>
      <c r="AK21" s="474"/>
      <c r="AL21" s="473"/>
      <c r="AM21" s="474"/>
      <c r="AN21" s="473"/>
      <c r="AO21" s="474"/>
      <c r="AP21" s="473"/>
      <c r="AQ21" s="474"/>
      <c r="AR21" s="473"/>
      <c r="AS21" s="474"/>
      <c r="AT21" s="247">
        <v>0.48599999999999999</v>
      </c>
      <c r="AU21" s="614" t="s">
        <v>20</v>
      </c>
      <c r="AV21" s="135">
        <f>'Ribassi PE'!$K$27</f>
        <v>7.0000000000000007E-2</v>
      </c>
      <c r="AW21" s="136">
        <f t="shared" si="4"/>
        <v>0.45200000000000001</v>
      </c>
      <c r="AX21" s="135">
        <f>'Ribassi PE'!$M$27</f>
        <v>0.6</v>
      </c>
      <c r="AY21" s="136">
        <f t="shared" si="5"/>
        <v>0.19400000000000001</v>
      </c>
      <c r="AZ21" s="576"/>
      <c r="BA21" s="576"/>
      <c r="BB21" s="576"/>
      <c r="BC21" s="576"/>
      <c r="BD21" s="576"/>
      <c r="BE21" s="576"/>
      <c r="BF21" s="576"/>
      <c r="BG21" s="576"/>
      <c r="BH21" s="576"/>
      <c r="BI21" s="576"/>
      <c r="BJ21" s="576"/>
      <c r="BK21" s="576"/>
      <c r="BL21" s="576"/>
      <c r="BM21" s="576"/>
      <c r="BN21" s="576"/>
      <c r="BO21" s="576"/>
      <c r="BP21" s="576"/>
      <c r="BQ21" s="576"/>
      <c r="BR21" s="576"/>
      <c r="BS21" s="576"/>
      <c r="BT21" s="576"/>
      <c r="BU21" s="576"/>
      <c r="BV21" s="576"/>
      <c r="BW21" s="576"/>
      <c r="BX21" s="577"/>
    </row>
    <row r="22" spans="1:76" ht="23.25" thickBot="1" x14ac:dyDescent="0.25">
      <c r="A22" s="575"/>
      <c r="B22" s="306" t="s">
        <v>903</v>
      </c>
      <c r="C22" s="1019"/>
      <c r="D22" s="298" t="s">
        <v>864</v>
      </c>
      <c r="E22" s="299" t="s">
        <v>1162</v>
      </c>
      <c r="F22" s="863"/>
      <c r="G22" s="864"/>
      <c r="H22" s="471"/>
      <c r="I22" s="472"/>
      <c r="J22" s="471"/>
      <c r="K22" s="472"/>
      <c r="L22" s="471"/>
      <c r="M22" s="472"/>
      <c r="N22" s="471"/>
      <c r="O22" s="472"/>
      <c r="P22" s="471"/>
      <c r="Q22" s="472"/>
      <c r="R22" s="471"/>
      <c r="S22" s="472"/>
      <c r="T22" s="471"/>
      <c r="U22" s="472"/>
      <c r="V22" s="471"/>
      <c r="W22" s="472"/>
      <c r="X22" s="471"/>
      <c r="Y22" s="472"/>
      <c r="Z22" s="471"/>
      <c r="AA22" s="472"/>
      <c r="AB22" s="471"/>
      <c r="AC22" s="472"/>
      <c r="AD22" s="471"/>
      <c r="AE22" s="472"/>
      <c r="AF22" s="471"/>
      <c r="AG22" s="472"/>
      <c r="AH22" s="471"/>
      <c r="AI22" s="472"/>
      <c r="AJ22" s="471"/>
      <c r="AK22" s="472"/>
      <c r="AL22" s="471"/>
      <c r="AM22" s="472"/>
      <c r="AN22" s="471"/>
      <c r="AO22" s="472"/>
      <c r="AP22" s="471"/>
      <c r="AQ22" s="472"/>
      <c r="AR22" s="471"/>
      <c r="AS22" s="472"/>
      <c r="AT22" s="164">
        <v>4.2999999999999997E-2</v>
      </c>
      <c r="AU22" s="614" t="s">
        <v>20</v>
      </c>
      <c r="AV22" s="165">
        <f>'Ribassi PE'!$K$27</f>
        <v>7.0000000000000007E-2</v>
      </c>
      <c r="AW22" s="166">
        <f t="shared" ref="AW22:AW55" si="6">ROUND(AT22*(1-AV22),3)</f>
        <v>0.04</v>
      </c>
      <c r="AX22" s="165">
        <f>'Ribassi PE'!$M$27</f>
        <v>0.6</v>
      </c>
      <c r="AY22" s="166">
        <f t="shared" ref="AY22:AY55" si="7">ROUND(AT22*(1-AX22),3)</f>
        <v>1.7000000000000001E-2</v>
      </c>
      <c r="AZ22" s="576"/>
      <c r="BA22" s="576"/>
      <c r="BB22" s="576"/>
      <c r="BC22" s="576"/>
      <c r="BD22" s="576"/>
      <c r="BE22" s="576"/>
      <c r="BF22" s="576"/>
      <c r="BG22" s="576"/>
      <c r="BH22" s="576"/>
      <c r="BI22" s="576"/>
      <c r="BJ22" s="576"/>
      <c r="BK22" s="576"/>
      <c r="BL22" s="576"/>
      <c r="BM22" s="576"/>
      <c r="BN22" s="576"/>
      <c r="BO22" s="576"/>
      <c r="BP22" s="576"/>
      <c r="BQ22" s="576"/>
      <c r="BR22" s="576"/>
      <c r="BS22" s="576"/>
      <c r="BT22" s="576"/>
      <c r="BU22" s="576"/>
      <c r="BV22" s="576"/>
      <c r="BW22" s="576"/>
      <c r="BX22" s="577"/>
    </row>
    <row r="23" spans="1:76" ht="12" thickBot="1" x14ac:dyDescent="0.25">
      <c r="A23" s="575"/>
      <c r="B23" s="306" t="s">
        <v>904</v>
      </c>
      <c r="C23" s="1019"/>
      <c r="D23" s="298" t="s">
        <v>946</v>
      </c>
      <c r="E23" s="299" t="s">
        <v>1163</v>
      </c>
      <c r="F23" s="865"/>
      <c r="G23" s="866"/>
      <c r="H23" s="473"/>
      <c r="I23" s="474"/>
      <c r="J23" s="473"/>
      <c r="K23" s="474"/>
      <c r="L23" s="473"/>
      <c r="M23" s="474"/>
      <c r="N23" s="473"/>
      <c r="O23" s="474"/>
      <c r="P23" s="473"/>
      <c r="Q23" s="474"/>
      <c r="R23" s="473"/>
      <c r="S23" s="474"/>
      <c r="T23" s="473"/>
      <c r="U23" s="474"/>
      <c r="V23" s="473"/>
      <c r="W23" s="474"/>
      <c r="X23" s="473"/>
      <c r="Y23" s="474"/>
      <c r="Z23" s="473"/>
      <c r="AA23" s="474"/>
      <c r="AB23" s="473"/>
      <c r="AC23" s="474"/>
      <c r="AD23" s="473"/>
      <c r="AE23" s="474"/>
      <c r="AF23" s="473"/>
      <c r="AG23" s="474"/>
      <c r="AH23" s="473"/>
      <c r="AI23" s="474"/>
      <c r="AJ23" s="473"/>
      <c r="AK23" s="474"/>
      <c r="AL23" s="473"/>
      <c r="AM23" s="474"/>
      <c r="AN23" s="473"/>
      <c r="AO23" s="474"/>
      <c r="AP23" s="473"/>
      <c r="AQ23" s="474"/>
      <c r="AR23" s="473"/>
      <c r="AS23" s="474"/>
      <c r="AT23" s="247">
        <v>0.48599999999999999</v>
      </c>
      <c r="AU23" s="614" t="s">
        <v>20</v>
      </c>
      <c r="AV23" s="135">
        <f>'Ribassi PE'!$K$27</f>
        <v>7.0000000000000007E-2</v>
      </c>
      <c r="AW23" s="136">
        <f t="shared" si="6"/>
        <v>0.45200000000000001</v>
      </c>
      <c r="AX23" s="135">
        <f>'Ribassi PE'!$M$27</f>
        <v>0.6</v>
      </c>
      <c r="AY23" s="136">
        <f t="shared" si="7"/>
        <v>0.19400000000000001</v>
      </c>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576"/>
      <c r="BV23" s="576"/>
      <c r="BW23" s="576"/>
      <c r="BX23" s="577"/>
    </row>
    <row r="24" spans="1:76" ht="23.25" thickBot="1" x14ac:dyDescent="0.25">
      <c r="A24" s="575"/>
      <c r="B24" s="306" t="s">
        <v>905</v>
      </c>
      <c r="C24" s="1019"/>
      <c r="D24" s="298" t="s">
        <v>860</v>
      </c>
      <c r="E24" s="299" t="s">
        <v>1163</v>
      </c>
      <c r="F24" s="863"/>
      <c r="G24" s="864"/>
      <c r="H24" s="471"/>
      <c r="I24" s="472"/>
      <c r="J24" s="471"/>
      <c r="K24" s="472"/>
      <c r="L24" s="471"/>
      <c r="M24" s="472"/>
      <c r="N24" s="471"/>
      <c r="O24" s="472"/>
      <c r="P24" s="471"/>
      <c r="Q24" s="472"/>
      <c r="R24" s="471"/>
      <c r="S24" s="472"/>
      <c r="T24" s="471"/>
      <c r="U24" s="472"/>
      <c r="V24" s="471"/>
      <c r="W24" s="472"/>
      <c r="X24" s="471"/>
      <c r="Y24" s="472"/>
      <c r="Z24" s="471"/>
      <c r="AA24" s="472"/>
      <c r="AB24" s="471"/>
      <c r="AC24" s="472"/>
      <c r="AD24" s="471"/>
      <c r="AE24" s="472"/>
      <c r="AF24" s="471"/>
      <c r="AG24" s="472"/>
      <c r="AH24" s="471"/>
      <c r="AI24" s="472"/>
      <c r="AJ24" s="471"/>
      <c r="AK24" s="472"/>
      <c r="AL24" s="471"/>
      <c r="AM24" s="472"/>
      <c r="AN24" s="471"/>
      <c r="AO24" s="472"/>
      <c r="AP24" s="471"/>
      <c r="AQ24" s="472"/>
      <c r="AR24" s="471"/>
      <c r="AS24" s="472"/>
      <c r="AT24" s="164">
        <v>9.0999999999999998E-2</v>
      </c>
      <c r="AU24" s="614" t="s">
        <v>20</v>
      </c>
      <c r="AV24" s="165">
        <f>'Ribassi PE'!$K$27</f>
        <v>7.0000000000000007E-2</v>
      </c>
      <c r="AW24" s="166">
        <f t="shared" si="6"/>
        <v>8.5000000000000006E-2</v>
      </c>
      <c r="AX24" s="165">
        <f>'Ribassi PE'!$M$27</f>
        <v>0.6</v>
      </c>
      <c r="AY24" s="166">
        <f t="shared" si="7"/>
        <v>3.5999999999999997E-2</v>
      </c>
      <c r="AZ24" s="576"/>
      <c r="BA24" s="576"/>
      <c r="BB24" s="576"/>
      <c r="BC24" s="576"/>
      <c r="BD24" s="576"/>
      <c r="BE24" s="576"/>
      <c r="BF24" s="576"/>
      <c r="BG24" s="576"/>
      <c r="BH24" s="576"/>
      <c r="BI24" s="576"/>
      <c r="BJ24" s="576"/>
      <c r="BK24" s="576"/>
      <c r="BL24" s="576"/>
      <c r="BM24" s="576"/>
      <c r="BN24" s="576"/>
      <c r="BO24" s="576"/>
      <c r="BP24" s="576"/>
      <c r="BQ24" s="576"/>
      <c r="BR24" s="576"/>
      <c r="BS24" s="576"/>
      <c r="BT24" s="576"/>
      <c r="BU24" s="576"/>
      <c r="BV24" s="576"/>
      <c r="BW24" s="576"/>
      <c r="BX24" s="577"/>
    </row>
    <row r="25" spans="1:76" ht="34.5" thickBot="1" x14ac:dyDescent="0.25">
      <c r="A25" s="575"/>
      <c r="B25" s="306" t="s">
        <v>906</v>
      </c>
      <c r="C25" s="1019"/>
      <c r="D25" s="298" t="s">
        <v>947</v>
      </c>
      <c r="E25" s="299" t="s">
        <v>1163</v>
      </c>
      <c r="F25" s="865"/>
      <c r="G25" s="866"/>
      <c r="H25" s="473"/>
      <c r="I25" s="474"/>
      <c r="J25" s="473"/>
      <c r="K25" s="474"/>
      <c r="L25" s="473"/>
      <c r="M25" s="474"/>
      <c r="N25" s="473"/>
      <c r="O25" s="474"/>
      <c r="P25" s="473"/>
      <c r="Q25" s="474"/>
      <c r="R25" s="473"/>
      <c r="S25" s="474"/>
      <c r="T25" s="473"/>
      <c r="U25" s="474"/>
      <c r="V25" s="473"/>
      <c r="W25" s="474"/>
      <c r="X25" s="473"/>
      <c r="Y25" s="474"/>
      <c r="Z25" s="473"/>
      <c r="AA25" s="474"/>
      <c r="AB25" s="473"/>
      <c r="AC25" s="474"/>
      <c r="AD25" s="473"/>
      <c r="AE25" s="474"/>
      <c r="AF25" s="473"/>
      <c r="AG25" s="474"/>
      <c r="AH25" s="473"/>
      <c r="AI25" s="474"/>
      <c r="AJ25" s="473"/>
      <c r="AK25" s="474"/>
      <c r="AL25" s="473"/>
      <c r="AM25" s="474"/>
      <c r="AN25" s="473"/>
      <c r="AO25" s="474"/>
      <c r="AP25" s="473"/>
      <c r="AQ25" s="474"/>
      <c r="AR25" s="473"/>
      <c r="AS25" s="474"/>
      <c r="AT25" s="247">
        <v>9.0999999999999998E-2</v>
      </c>
      <c r="AU25" s="614" t="s">
        <v>20</v>
      </c>
      <c r="AV25" s="135">
        <f>'Ribassi PE'!$K$27</f>
        <v>7.0000000000000007E-2</v>
      </c>
      <c r="AW25" s="136">
        <f t="shared" si="6"/>
        <v>8.5000000000000006E-2</v>
      </c>
      <c r="AX25" s="135">
        <f>'Ribassi PE'!$M$27</f>
        <v>0.6</v>
      </c>
      <c r="AY25" s="136">
        <f t="shared" si="7"/>
        <v>3.5999999999999997E-2</v>
      </c>
      <c r="AZ25" s="576"/>
      <c r="BA25" s="576"/>
      <c r="BB25" s="576"/>
      <c r="BC25" s="576"/>
      <c r="BD25" s="576"/>
      <c r="BE25" s="576"/>
      <c r="BF25" s="576"/>
      <c r="BG25" s="576"/>
      <c r="BH25" s="576"/>
      <c r="BI25" s="576"/>
      <c r="BJ25" s="576"/>
      <c r="BK25" s="576"/>
      <c r="BL25" s="576"/>
      <c r="BM25" s="576"/>
      <c r="BN25" s="576"/>
      <c r="BO25" s="576"/>
      <c r="BP25" s="576"/>
      <c r="BQ25" s="576"/>
      <c r="BR25" s="576"/>
      <c r="BS25" s="576"/>
      <c r="BT25" s="576"/>
      <c r="BU25" s="576"/>
      <c r="BV25" s="576"/>
      <c r="BW25" s="576"/>
      <c r="BX25" s="577"/>
    </row>
    <row r="26" spans="1:76" ht="23.25" thickBot="1" x14ac:dyDescent="0.25">
      <c r="A26" s="575"/>
      <c r="B26" s="306" t="s">
        <v>907</v>
      </c>
      <c r="C26" s="1019"/>
      <c r="D26" s="298" t="s">
        <v>862</v>
      </c>
      <c r="E26" s="299" t="s">
        <v>1163</v>
      </c>
      <c r="F26" s="863">
        <f>880+79+356+9</f>
        <v>1324</v>
      </c>
      <c r="G26" s="864">
        <v>52</v>
      </c>
      <c r="H26" s="471"/>
      <c r="I26" s="472"/>
      <c r="J26" s="471"/>
      <c r="K26" s="472"/>
      <c r="L26" s="471"/>
      <c r="M26" s="472"/>
      <c r="N26" s="471"/>
      <c r="O26" s="472"/>
      <c r="P26" s="471"/>
      <c r="Q26" s="472"/>
      <c r="R26" s="471"/>
      <c r="S26" s="472"/>
      <c r="T26" s="471"/>
      <c r="U26" s="472"/>
      <c r="V26" s="471"/>
      <c r="W26" s="472"/>
      <c r="X26" s="471"/>
      <c r="Y26" s="472"/>
      <c r="Z26" s="471"/>
      <c r="AA26" s="472"/>
      <c r="AB26" s="471"/>
      <c r="AC26" s="472"/>
      <c r="AD26" s="471"/>
      <c r="AE26" s="472"/>
      <c r="AF26" s="471"/>
      <c r="AG26" s="472"/>
      <c r="AH26" s="471"/>
      <c r="AI26" s="472"/>
      <c r="AJ26" s="471"/>
      <c r="AK26" s="472"/>
      <c r="AL26" s="471"/>
      <c r="AM26" s="472"/>
      <c r="AN26" s="471"/>
      <c r="AO26" s="472"/>
      <c r="AP26" s="471"/>
      <c r="AQ26" s="472"/>
      <c r="AR26" s="471"/>
      <c r="AS26" s="472"/>
      <c r="AT26" s="164">
        <v>0.182</v>
      </c>
      <c r="AU26" s="614" t="s">
        <v>20</v>
      </c>
      <c r="AV26" s="165">
        <f>'Ribassi PE'!$K$27</f>
        <v>7.0000000000000007E-2</v>
      </c>
      <c r="AW26" s="166">
        <f t="shared" si="6"/>
        <v>0.16900000000000001</v>
      </c>
      <c r="AX26" s="165">
        <f>'Ribassi PE'!$M$27</f>
        <v>0.6</v>
      </c>
      <c r="AY26" s="166">
        <f t="shared" si="7"/>
        <v>7.2999999999999995E-2</v>
      </c>
      <c r="AZ26" s="576"/>
      <c r="BA26" s="576"/>
      <c r="BB26" s="576"/>
      <c r="BC26" s="576"/>
      <c r="BD26" s="576"/>
      <c r="BE26" s="576"/>
      <c r="BF26" s="576"/>
      <c r="BG26" s="576"/>
      <c r="BH26" s="576"/>
      <c r="BI26" s="576"/>
      <c r="BJ26" s="576"/>
      <c r="BK26" s="576"/>
      <c r="BL26" s="576"/>
      <c r="BM26" s="576"/>
      <c r="BN26" s="576"/>
      <c r="BO26" s="576"/>
      <c r="BP26" s="576"/>
      <c r="BQ26" s="576"/>
      <c r="BR26" s="576"/>
      <c r="BS26" s="576"/>
      <c r="BT26" s="576"/>
      <c r="BU26" s="576"/>
      <c r="BV26" s="576"/>
      <c r="BW26" s="576"/>
      <c r="BX26" s="577"/>
    </row>
    <row r="27" spans="1:76" ht="23.25" thickBot="1" x14ac:dyDescent="0.25">
      <c r="A27" s="575"/>
      <c r="B27" s="306" t="s">
        <v>908</v>
      </c>
      <c r="C27" s="1019"/>
      <c r="D27" s="298" t="s">
        <v>948</v>
      </c>
      <c r="E27" s="299" t="s">
        <v>1163</v>
      </c>
      <c r="F27" s="863">
        <f>307+33+91+6</f>
        <v>437</v>
      </c>
      <c r="G27" s="864">
        <v>52</v>
      </c>
      <c r="H27" s="473"/>
      <c r="I27" s="474"/>
      <c r="J27" s="473"/>
      <c r="K27" s="474"/>
      <c r="L27" s="473"/>
      <c r="M27" s="474"/>
      <c r="N27" s="473"/>
      <c r="O27" s="474"/>
      <c r="P27" s="473"/>
      <c r="Q27" s="474"/>
      <c r="R27" s="473"/>
      <c r="S27" s="474"/>
      <c r="T27" s="473"/>
      <c r="U27" s="474"/>
      <c r="V27" s="473"/>
      <c r="W27" s="474"/>
      <c r="X27" s="473"/>
      <c r="Y27" s="474"/>
      <c r="Z27" s="473"/>
      <c r="AA27" s="474"/>
      <c r="AB27" s="473"/>
      <c r="AC27" s="474"/>
      <c r="AD27" s="473"/>
      <c r="AE27" s="474"/>
      <c r="AF27" s="473"/>
      <c r="AG27" s="474"/>
      <c r="AH27" s="473"/>
      <c r="AI27" s="474"/>
      <c r="AJ27" s="473"/>
      <c r="AK27" s="474"/>
      <c r="AL27" s="473"/>
      <c r="AM27" s="474"/>
      <c r="AN27" s="473"/>
      <c r="AO27" s="474"/>
      <c r="AP27" s="473"/>
      <c r="AQ27" s="474"/>
      <c r="AR27" s="473"/>
      <c r="AS27" s="474"/>
      <c r="AT27" s="247">
        <v>0.36399999999999999</v>
      </c>
      <c r="AU27" s="614" t="s">
        <v>20</v>
      </c>
      <c r="AV27" s="135">
        <f>'Ribassi PE'!$K$27</f>
        <v>7.0000000000000007E-2</v>
      </c>
      <c r="AW27" s="136">
        <f t="shared" si="6"/>
        <v>0.33900000000000002</v>
      </c>
      <c r="AX27" s="135">
        <f>'Ribassi PE'!$M$27</f>
        <v>0.6</v>
      </c>
      <c r="AY27" s="136">
        <f t="shared" si="7"/>
        <v>0.14599999999999999</v>
      </c>
      <c r="AZ27" s="576"/>
      <c r="BA27" s="576"/>
      <c r="BB27" s="576"/>
      <c r="BC27" s="576"/>
      <c r="BD27" s="576"/>
      <c r="BE27" s="576"/>
      <c r="BF27" s="576"/>
      <c r="BG27" s="576"/>
      <c r="BH27" s="576"/>
      <c r="BI27" s="576"/>
      <c r="BJ27" s="576"/>
      <c r="BK27" s="576"/>
      <c r="BL27" s="576"/>
      <c r="BM27" s="576"/>
      <c r="BN27" s="576"/>
      <c r="BO27" s="576"/>
      <c r="BP27" s="576"/>
      <c r="BQ27" s="576"/>
      <c r="BR27" s="576"/>
      <c r="BS27" s="576"/>
      <c r="BT27" s="576"/>
      <c r="BU27" s="576"/>
      <c r="BV27" s="576"/>
      <c r="BW27" s="576"/>
      <c r="BX27" s="577"/>
    </row>
    <row r="28" spans="1:76" ht="23.25" thickBot="1" x14ac:dyDescent="0.25">
      <c r="A28" s="575"/>
      <c r="B28" s="306" t="s">
        <v>909</v>
      </c>
      <c r="C28" s="1019"/>
      <c r="D28" s="298" t="s">
        <v>949</v>
      </c>
      <c r="E28" s="299" t="s">
        <v>1163</v>
      </c>
      <c r="F28" s="863"/>
      <c r="G28" s="864"/>
      <c r="H28" s="471"/>
      <c r="I28" s="472"/>
      <c r="J28" s="471"/>
      <c r="K28" s="472"/>
      <c r="L28" s="471"/>
      <c r="M28" s="472"/>
      <c r="N28" s="471"/>
      <c r="O28" s="472"/>
      <c r="P28" s="471"/>
      <c r="Q28" s="472"/>
      <c r="R28" s="471"/>
      <c r="S28" s="472"/>
      <c r="T28" s="471"/>
      <c r="U28" s="472"/>
      <c r="V28" s="471"/>
      <c r="W28" s="472"/>
      <c r="X28" s="471"/>
      <c r="Y28" s="472"/>
      <c r="Z28" s="471"/>
      <c r="AA28" s="472"/>
      <c r="AB28" s="471"/>
      <c r="AC28" s="472"/>
      <c r="AD28" s="471"/>
      <c r="AE28" s="472"/>
      <c r="AF28" s="471"/>
      <c r="AG28" s="472"/>
      <c r="AH28" s="471"/>
      <c r="AI28" s="472"/>
      <c r="AJ28" s="471"/>
      <c r="AK28" s="472"/>
      <c r="AL28" s="471"/>
      <c r="AM28" s="472"/>
      <c r="AN28" s="471"/>
      <c r="AO28" s="472"/>
      <c r="AP28" s="471"/>
      <c r="AQ28" s="472"/>
      <c r="AR28" s="471"/>
      <c r="AS28" s="472"/>
      <c r="AT28" s="164">
        <v>0.182</v>
      </c>
      <c r="AU28" s="614" t="s">
        <v>20</v>
      </c>
      <c r="AV28" s="165">
        <f>'Ribassi PE'!$K$27</f>
        <v>7.0000000000000007E-2</v>
      </c>
      <c r="AW28" s="166">
        <f t="shared" si="6"/>
        <v>0.16900000000000001</v>
      </c>
      <c r="AX28" s="165">
        <f>'Ribassi PE'!$M$27</f>
        <v>0.6</v>
      </c>
      <c r="AY28" s="166">
        <f t="shared" si="7"/>
        <v>7.2999999999999995E-2</v>
      </c>
      <c r="AZ28" s="576"/>
      <c r="BA28" s="576"/>
      <c r="BB28" s="576"/>
      <c r="BC28" s="576"/>
      <c r="BD28" s="576"/>
      <c r="BE28" s="576"/>
      <c r="BF28" s="576"/>
      <c r="BG28" s="576"/>
      <c r="BH28" s="576"/>
      <c r="BI28" s="576"/>
      <c r="BJ28" s="576"/>
      <c r="BK28" s="576"/>
      <c r="BL28" s="576"/>
      <c r="BM28" s="576"/>
      <c r="BN28" s="576"/>
      <c r="BO28" s="576"/>
      <c r="BP28" s="576"/>
      <c r="BQ28" s="576"/>
      <c r="BR28" s="576"/>
      <c r="BS28" s="576"/>
      <c r="BT28" s="576"/>
      <c r="BU28" s="576"/>
      <c r="BV28" s="576"/>
      <c r="BW28" s="576"/>
      <c r="BX28" s="577"/>
    </row>
    <row r="29" spans="1:76" ht="23.25" thickBot="1" x14ac:dyDescent="0.25">
      <c r="A29" s="575"/>
      <c r="B29" s="306" t="s">
        <v>910</v>
      </c>
      <c r="C29" s="1019"/>
      <c r="D29" s="298" t="s">
        <v>950</v>
      </c>
      <c r="E29" s="299" t="s">
        <v>1163</v>
      </c>
      <c r="F29" s="865"/>
      <c r="G29" s="866"/>
      <c r="H29" s="473"/>
      <c r="I29" s="474"/>
      <c r="J29" s="473"/>
      <c r="K29" s="474"/>
      <c r="L29" s="473"/>
      <c r="M29" s="474"/>
      <c r="N29" s="473"/>
      <c r="O29" s="474"/>
      <c r="P29" s="473"/>
      <c r="Q29" s="474"/>
      <c r="R29" s="473"/>
      <c r="S29" s="474"/>
      <c r="T29" s="473"/>
      <c r="U29" s="474"/>
      <c r="V29" s="473"/>
      <c r="W29" s="474"/>
      <c r="X29" s="473"/>
      <c r="Y29" s="474"/>
      <c r="Z29" s="473"/>
      <c r="AA29" s="474"/>
      <c r="AB29" s="473"/>
      <c r="AC29" s="474"/>
      <c r="AD29" s="473"/>
      <c r="AE29" s="474"/>
      <c r="AF29" s="473"/>
      <c r="AG29" s="474"/>
      <c r="AH29" s="473"/>
      <c r="AI29" s="474"/>
      <c r="AJ29" s="473"/>
      <c r="AK29" s="474"/>
      <c r="AL29" s="473"/>
      <c r="AM29" s="474"/>
      <c r="AN29" s="473"/>
      <c r="AO29" s="474"/>
      <c r="AP29" s="473"/>
      <c r="AQ29" s="474"/>
      <c r="AR29" s="473"/>
      <c r="AS29" s="474"/>
      <c r="AT29" s="247">
        <v>0.03</v>
      </c>
      <c r="AU29" s="614" t="s">
        <v>20</v>
      </c>
      <c r="AV29" s="135">
        <f>'Ribassi PE'!$K$27</f>
        <v>7.0000000000000007E-2</v>
      </c>
      <c r="AW29" s="136">
        <f t="shared" si="6"/>
        <v>2.8000000000000001E-2</v>
      </c>
      <c r="AX29" s="135">
        <f>'Ribassi PE'!$M$27</f>
        <v>0.6</v>
      </c>
      <c r="AY29" s="136">
        <f t="shared" si="7"/>
        <v>1.2E-2</v>
      </c>
      <c r="AZ29" s="576"/>
      <c r="BA29" s="576"/>
      <c r="BB29" s="576"/>
      <c r="BC29" s="576"/>
      <c r="BD29" s="576"/>
      <c r="BE29" s="576"/>
      <c r="BF29" s="576"/>
      <c r="BG29" s="576"/>
      <c r="BH29" s="576"/>
      <c r="BI29" s="576"/>
      <c r="BJ29" s="576"/>
      <c r="BK29" s="576"/>
      <c r="BL29" s="576"/>
      <c r="BM29" s="576"/>
      <c r="BN29" s="576"/>
      <c r="BO29" s="576"/>
      <c r="BP29" s="576"/>
      <c r="BQ29" s="576"/>
      <c r="BR29" s="576"/>
      <c r="BS29" s="576"/>
      <c r="BT29" s="576"/>
      <c r="BU29" s="576"/>
      <c r="BV29" s="576"/>
      <c r="BW29" s="576"/>
      <c r="BX29" s="577"/>
    </row>
    <row r="30" spans="1:76" ht="45.75" thickBot="1" x14ac:dyDescent="0.25">
      <c r="A30" s="575"/>
      <c r="B30" s="309" t="s">
        <v>911</v>
      </c>
      <c r="C30" s="1020"/>
      <c r="D30" s="304" t="s">
        <v>867</v>
      </c>
      <c r="E30" s="301" t="s">
        <v>1163</v>
      </c>
      <c r="F30" s="867">
        <f>891+86+417+6+452+9+114</f>
        <v>1975</v>
      </c>
      <c r="G30" s="868">
        <v>52</v>
      </c>
      <c r="H30" s="475"/>
      <c r="I30" s="476"/>
      <c r="J30" s="475"/>
      <c r="K30" s="476"/>
      <c r="L30" s="475"/>
      <c r="M30" s="476"/>
      <c r="N30" s="475"/>
      <c r="O30" s="476"/>
      <c r="P30" s="475"/>
      <c r="Q30" s="476"/>
      <c r="R30" s="475"/>
      <c r="S30" s="476"/>
      <c r="T30" s="475"/>
      <c r="U30" s="476"/>
      <c r="V30" s="475"/>
      <c r="W30" s="476"/>
      <c r="X30" s="475"/>
      <c r="Y30" s="476"/>
      <c r="Z30" s="475"/>
      <c r="AA30" s="476"/>
      <c r="AB30" s="475"/>
      <c r="AC30" s="476"/>
      <c r="AD30" s="475"/>
      <c r="AE30" s="476"/>
      <c r="AF30" s="475"/>
      <c r="AG30" s="476"/>
      <c r="AH30" s="475"/>
      <c r="AI30" s="476"/>
      <c r="AJ30" s="475"/>
      <c r="AK30" s="476"/>
      <c r="AL30" s="475"/>
      <c r="AM30" s="476"/>
      <c r="AN30" s="475"/>
      <c r="AO30" s="476"/>
      <c r="AP30" s="475"/>
      <c r="AQ30" s="476"/>
      <c r="AR30" s="475"/>
      <c r="AS30" s="476"/>
      <c r="AT30" s="251">
        <v>0.218</v>
      </c>
      <c r="AU30" s="615" t="s">
        <v>20</v>
      </c>
      <c r="AV30" s="138">
        <f>'Ribassi PE'!$K$27</f>
        <v>7.0000000000000007E-2</v>
      </c>
      <c r="AW30" s="252">
        <f t="shared" si="6"/>
        <v>0.20300000000000001</v>
      </c>
      <c r="AX30" s="138">
        <f>'Ribassi PE'!$M$27</f>
        <v>0.6</v>
      </c>
      <c r="AY30" s="252">
        <f t="shared" si="7"/>
        <v>8.6999999999999994E-2</v>
      </c>
      <c r="AZ30" s="576"/>
      <c r="BA30" s="576"/>
      <c r="BB30" s="576"/>
      <c r="BC30" s="576"/>
      <c r="BD30" s="576"/>
      <c r="BE30" s="576"/>
      <c r="BF30" s="576"/>
      <c r="BG30" s="576"/>
      <c r="BH30" s="576"/>
      <c r="BI30" s="576"/>
      <c r="BJ30" s="576"/>
      <c r="BK30" s="576"/>
      <c r="BL30" s="576"/>
      <c r="BM30" s="576"/>
      <c r="BN30" s="576"/>
      <c r="BO30" s="576"/>
      <c r="BP30" s="576"/>
      <c r="BQ30" s="576"/>
      <c r="BR30" s="576"/>
      <c r="BS30" s="576"/>
      <c r="BT30" s="576"/>
      <c r="BU30" s="576"/>
      <c r="BV30" s="576"/>
      <c r="BW30" s="576"/>
      <c r="BX30" s="577"/>
    </row>
    <row r="31" spans="1:76" ht="12" thickBot="1" x14ac:dyDescent="0.25">
      <c r="A31" s="575"/>
      <c r="B31" s="545" t="s">
        <v>912</v>
      </c>
      <c r="C31" s="986" t="s">
        <v>847</v>
      </c>
      <c r="D31" s="310" t="s">
        <v>852</v>
      </c>
      <c r="E31" s="303" t="s">
        <v>1163</v>
      </c>
      <c r="F31" s="869"/>
      <c r="G31" s="870"/>
      <c r="H31" s="477"/>
      <c r="I31" s="478"/>
      <c r="J31" s="477"/>
      <c r="K31" s="478"/>
      <c r="L31" s="477"/>
      <c r="M31" s="478"/>
      <c r="N31" s="477"/>
      <c r="O31" s="478"/>
      <c r="P31" s="477"/>
      <c r="Q31" s="478"/>
      <c r="R31" s="477"/>
      <c r="S31" s="478"/>
      <c r="T31" s="477"/>
      <c r="U31" s="478"/>
      <c r="V31" s="477"/>
      <c r="W31" s="478"/>
      <c r="X31" s="477"/>
      <c r="Y31" s="478"/>
      <c r="Z31" s="477"/>
      <c r="AA31" s="478"/>
      <c r="AB31" s="477"/>
      <c r="AC31" s="478"/>
      <c r="AD31" s="477"/>
      <c r="AE31" s="478"/>
      <c r="AF31" s="477"/>
      <c r="AG31" s="478"/>
      <c r="AH31" s="477"/>
      <c r="AI31" s="478"/>
      <c r="AJ31" s="477"/>
      <c r="AK31" s="478"/>
      <c r="AL31" s="477"/>
      <c r="AM31" s="478"/>
      <c r="AN31" s="477"/>
      <c r="AO31" s="478"/>
      <c r="AP31" s="477"/>
      <c r="AQ31" s="478"/>
      <c r="AR31" s="477"/>
      <c r="AS31" s="478"/>
      <c r="AT31" s="289">
        <v>0.72799999999999998</v>
      </c>
      <c r="AU31" s="613" t="s">
        <v>20</v>
      </c>
      <c r="AV31" s="249">
        <f>'Ribassi PE'!$K$27</f>
        <v>7.0000000000000007E-2</v>
      </c>
      <c r="AW31" s="250">
        <f t="shared" si="6"/>
        <v>0.67700000000000005</v>
      </c>
      <c r="AX31" s="249">
        <f>'Ribassi PE'!$M$27</f>
        <v>0.6</v>
      </c>
      <c r="AY31" s="250">
        <f t="shared" si="7"/>
        <v>0.29099999999999998</v>
      </c>
      <c r="AZ31" s="576"/>
      <c r="BA31" s="576"/>
      <c r="BB31" s="576"/>
      <c r="BC31" s="576"/>
      <c r="BD31" s="576"/>
      <c r="BE31" s="576"/>
      <c r="BF31" s="576"/>
      <c r="BG31" s="576"/>
      <c r="BH31" s="576"/>
      <c r="BI31" s="576"/>
      <c r="BJ31" s="576"/>
      <c r="BK31" s="576"/>
      <c r="BL31" s="576"/>
      <c r="BM31" s="576"/>
      <c r="BN31" s="576"/>
      <c r="BO31" s="576"/>
      <c r="BP31" s="576"/>
      <c r="BQ31" s="576"/>
      <c r="BR31" s="576"/>
      <c r="BS31" s="576"/>
      <c r="BT31" s="576"/>
      <c r="BU31" s="576"/>
      <c r="BV31" s="576"/>
      <c r="BW31" s="576"/>
      <c r="BX31" s="577"/>
    </row>
    <row r="32" spans="1:76" ht="34.5" thickBot="1" x14ac:dyDescent="0.25">
      <c r="A32" s="575"/>
      <c r="B32" s="546" t="s">
        <v>913</v>
      </c>
      <c r="C32" s="988"/>
      <c r="D32" s="298" t="s">
        <v>951</v>
      </c>
      <c r="E32" s="299" t="s">
        <v>1163</v>
      </c>
      <c r="F32" s="863"/>
      <c r="G32" s="864"/>
      <c r="H32" s="471"/>
      <c r="I32" s="472"/>
      <c r="J32" s="471"/>
      <c r="K32" s="472"/>
      <c r="L32" s="471"/>
      <c r="M32" s="472"/>
      <c r="N32" s="471"/>
      <c r="O32" s="472"/>
      <c r="P32" s="471"/>
      <c r="Q32" s="472"/>
      <c r="R32" s="471"/>
      <c r="S32" s="472"/>
      <c r="T32" s="471"/>
      <c r="U32" s="472"/>
      <c r="V32" s="471"/>
      <c r="W32" s="472"/>
      <c r="X32" s="471"/>
      <c r="Y32" s="472"/>
      <c r="Z32" s="471"/>
      <c r="AA32" s="472"/>
      <c r="AB32" s="471"/>
      <c r="AC32" s="472"/>
      <c r="AD32" s="471"/>
      <c r="AE32" s="472"/>
      <c r="AF32" s="471"/>
      <c r="AG32" s="472"/>
      <c r="AH32" s="471"/>
      <c r="AI32" s="472"/>
      <c r="AJ32" s="471"/>
      <c r="AK32" s="472"/>
      <c r="AL32" s="471"/>
      <c r="AM32" s="472"/>
      <c r="AN32" s="471"/>
      <c r="AO32" s="472"/>
      <c r="AP32" s="471"/>
      <c r="AQ32" s="472"/>
      <c r="AR32" s="471"/>
      <c r="AS32" s="472"/>
      <c r="AT32" s="164">
        <v>0.182</v>
      </c>
      <c r="AU32" s="614" t="s">
        <v>20</v>
      </c>
      <c r="AV32" s="165">
        <f>'Ribassi PE'!$K$27</f>
        <v>7.0000000000000007E-2</v>
      </c>
      <c r="AW32" s="166">
        <f t="shared" si="6"/>
        <v>0.16900000000000001</v>
      </c>
      <c r="AX32" s="165">
        <f>'Ribassi PE'!$M$27</f>
        <v>0.6</v>
      </c>
      <c r="AY32" s="166">
        <f t="shared" si="7"/>
        <v>7.2999999999999995E-2</v>
      </c>
      <c r="AZ32" s="576"/>
      <c r="BA32" s="576"/>
      <c r="BB32" s="576"/>
      <c r="BC32" s="576"/>
      <c r="BD32" s="576"/>
      <c r="BE32" s="576"/>
      <c r="BF32" s="576"/>
      <c r="BG32" s="576"/>
      <c r="BH32" s="576"/>
      <c r="BI32" s="576"/>
      <c r="BJ32" s="576"/>
      <c r="BK32" s="576"/>
      <c r="BL32" s="576"/>
      <c r="BM32" s="576"/>
      <c r="BN32" s="576"/>
      <c r="BO32" s="576"/>
      <c r="BP32" s="576"/>
      <c r="BQ32" s="576"/>
      <c r="BR32" s="576"/>
      <c r="BS32" s="576"/>
      <c r="BT32" s="576"/>
      <c r="BU32" s="576"/>
      <c r="BV32" s="576"/>
      <c r="BW32" s="576"/>
      <c r="BX32" s="577"/>
    </row>
    <row r="33" spans="1:76" ht="23.25" thickBot="1" x14ac:dyDescent="0.25">
      <c r="A33" s="575"/>
      <c r="B33" s="547" t="s">
        <v>914</v>
      </c>
      <c r="C33" s="989"/>
      <c r="D33" s="304" t="s">
        <v>854</v>
      </c>
      <c r="E33" s="301" t="s">
        <v>1163</v>
      </c>
      <c r="F33" s="867"/>
      <c r="G33" s="868"/>
      <c r="H33" s="475"/>
      <c r="I33" s="476"/>
      <c r="J33" s="475"/>
      <c r="K33" s="476"/>
      <c r="L33" s="475"/>
      <c r="M33" s="476"/>
      <c r="N33" s="475"/>
      <c r="O33" s="476"/>
      <c r="P33" s="475"/>
      <c r="Q33" s="476"/>
      <c r="R33" s="475"/>
      <c r="S33" s="476"/>
      <c r="T33" s="475"/>
      <c r="U33" s="476"/>
      <c r="V33" s="475"/>
      <c r="W33" s="476"/>
      <c r="X33" s="475"/>
      <c r="Y33" s="476"/>
      <c r="Z33" s="475"/>
      <c r="AA33" s="476"/>
      <c r="AB33" s="475"/>
      <c r="AC33" s="476"/>
      <c r="AD33" s="475"/>
      <c r="AE33" s="476"/>
      <c r="AF33" s="475"/>
      <c r="AG33" s="476"/>
      <c r="AH33" s="475"/>
      <c r="AI33" s="476"/>
      <c r="AJ33" s="475"/>
      <c r="AK33" s="476"/>
      <c r="AL33" s="475"/>
      <c r="AM33" s="476"/>
      <c r="AN33" s="475"/>
      <c r="AO33" s="476"/>
      <c r="AP33" s="475"/>
      <c r="AQ33" s="476"/>
      <c r="AR33" s="475"/>
      <c r="AS33" s="476"/>
      <c r="AT33" s="137">
        <v>0.182</v>
      </c>
      <c r="AU33" s="615" t="s">
        <v>20</v>
      </c>
      <c r="AV33" s="138">
        <f>'Ribassi PE'!$K$27</f>
        <v>7.0000000000000007E-2</v>
      </c>
      <c r="AW33" s="139">
        <f t="shared" si="6"/>
        <v>0.16900000000000001</v>
      </c>
      <c r="AX33" s="138">
        <f>'Ribassi PE'!$M$27</f>
        <v>0.6</v>
      </c>
      <c r="AY33" s="139">
        <f t="shared" si="7"/>
        <v>7.2999999999999995E-2</v>
      </c>
      <c r="AZ33" s="576"/>
      <c r="BA33" s="576"/>
      <c r="BB33" s="576"/>
      <c r="BC33" s="576"/>
      <c r="BD33" s="576"/>
      <c r="BE33" s="576"/>
      <c r="BF33" s="576"/>
      <c r="BG33" s="576"/>
      <c r="BH33" s="576"/>
      <c r="BI33" s="576"/>
      <c r="BJ33" s="576"/>
      <c r="BK33" s="576"/>
      <c r="BL33" s="576"/>
      <c r="BM33" s="576"/>
      <c r="BN33" s="576"/>
      <c r="BO33" s="576"/>
      <c r="BP33" s="576"/>
      <c r="BQ33" s="576"/>
      <c r="BR33" s="576"/>
      <c r="BS33" s="576"/>
      <c r="BT33" s="576"/>
      <c r="BU33" s="576"/>
      <c r="BV33" s="576"/>
      <c r="BW33" s="576"/>
      <c r="BX33" s="577"/>
    </row>
    <row r="34" spans="1:76" ht="23.25" thickBot="1" x14ac:dyDescent="0.25">
      <c r="A34" s="575"/>
      <c r="B34" s="545" t="s">
        <v>915</v>
      </c>
      <c r="C34" s="986" t="s">
        <v>878</v>
      </c>
      <c r="D34" s="310" t="s">
        <v>952</v>
      </c>
      <c r="E34" s="303" t="s">
        <v>1162</v>
      </c>
      <c r="F34" s="871"/>
      <c r="G34" s="872"/>
      <c r="H34" s="479"/>
      <c r="I34" s="480"/>
      <c r="J34" s="479"/>
      <c r="K34" s="480"/>
      <c r="L34" s="479"/>
      <c r="M34" s="480"/>
      <c r="N34" s="479"/>
      <c r="O34" s="480"/>
      <c r="P34" s="479"/>
      <c r="Q34" s="480"/>
      <c r="R34" s="479"/>
      <c r="S34" s="480"/>
      <c r="T34" s="479"/>
      <c r="U34" s="480"/>
      <c r="V34" s="479"/>
      <c r="W34" s="480"/>
      <c r="X34" s="479"/>
      <c r="Y34" s="480"/>
      <c r="Z34" s="479"/>
      <c r="AA34" s="480"/>
      <c r="AB34" s="479"/>
      <c r="AC34" s="480"/>
      <c r="AD34" s="479"/>
      <c r="AE34" s="480"/>
      <c r="AF34" s="479"/>
      <c r="AG34" s="480"/>
      <c r="AH34" s="479"/>
      <c r="AI34" s="480"/>
      <c r="AJ34" s="479"/>
      <c r="AK34" s="480"/>
      <c r="AL34" s="479"/>
      <c r="AM34" s="480"/>
      <c r="AN34" s="479"/>
      <c r="AO34" s="480"/>
      <c r="AP34" s="479"/>
      <c r="AQ34" s="480"/>
      <c r="AR34" s="479"/>
      <c r="AS34" s="480"/>
      <c r="AT34" s="253">
        <v>0.48599999999999999</v>
      </c>
      <c r="AU34" s="614" t="s">
        <v>20</v>
      </c>
      <c r="AV34" s="212">
        <f>'Ribassi PE'!$K$27</f>
        <v>7.0000000000000007E-2</v>
      </c>
      <c r="AW34" s="254">
        <f t="shared" si="6"/>
        <v>0.45200000000000001</v>
      </c>
      <c r="AX34" s="212">
        <f>'Ribassi PE'!$M$27</f>
        <v>0.6</v>
      </c>
      <c r="AY34" s="254">
        <f t="shared" si="7"/>
        <v>0.19400000000000001</v>
      </c>
      <c r="AZ34" s="576"/>
      <c r="BA34" s="576"/>
      <c r="BB34" s="576"/>
      <c r="BC34" s="576"/>
      <c r="BD34" s="576"/>
      <c r="BE34" s="576"/>
      <c r="BF34" s="576"/>
      <c r="BG34" s="576"/>
      <c r="BH34" s="576"/>
      <c r="BI34" s="576"/>
      <c r="BJ34" s="576"/>
      <c r="BK34" s="576"/>
      <c r="BL34" s="576"/>
      <c r="BM34" s="576"/>
      <c r="BN34" s="576"/>
      <c r="BO34" s="576"/>
      <c r="BP34" s="576"/>
      <c r="BQ34" s="576"/>
      <c r="BR34" s="576"/>
      <c r="BS34" s="576"/>
      <c r="BT34" s="576"/>
      <c r="BU34" s="576"/>
      <c r="BV34" s="576"/>
      <c r="BW34" s="576"/>
      <c r="BX34" s="577"/>
    </row>
    <row r="35" spans="1:76" ht="23.25" thickBot="1" x14ac:dyDescent="0.25">
      <c r="A35" s="575"/>
      <c r="B35" s="547" t="s">
        <v>916</v>
      </c>
      <c r="C35" s="989"/>
      <c r="D35" s="304" t="s">
        <v>953</v>
      </c>
      <c r="E35" s="301" t="s">
        <v>1162</v>
      </c>
      <c r="F35" s="865"/>
      <c r="G35" s="866"/>
      <c r="H35" s="473"/>
      <c r="I35" s="474"/>
      <c r="J35" s="473"/>
      <c r="K35" s="474"/>
      <c r="L35" s="473"/>
      <c r="M35" s="474"/>
      <c r="N35" s="473"/>
      <c r="O35" s="474"/>
      <c r="P35" s="473"/>
      <c r="Q35" s="474"/>
      <c r="R35" s="473"/>
      <c r="S35" s="474"/>
      <c r="T35" s="473"/>
      <c r="U35" s="474"/>
      <c r="V35" s="473"/>
      <c r="W35" s="474"/>
      <c r="X35" s="473"/>
      <c r="Y35" s="474"/>
      <c r="Z35" s="473"/>
      <c r="AA35" s="474"/>
      <c r="AB35" s="473"/>
      <c r="AC35" s="474"/>
      <c r="AD35" s="473"/>
      <c r="AE35" s="474"/>
      <c r="AF35" s="473"/>
      <c r="AG35" s="474"/>
      <c r="AH35" s="473"/>
      <c r="AI35" s="474"/>
      <c r="AJ35" s="473"/>
      <c r="AK35" s="474"/>
      <c r="AL35" s="473"/>
      <c r="AM35" s="474"/>
      <c r="AN35" s="473"/>
      <c r="AO35" s="474"/>
      <c r="AP35" s="473"/>
      <c r="AQ35" s="474"/>
      <c r="AR35" s="473"/>
      <c r="AS35" s="474"/>
      <c r="AT35" s="247">
        <v>0.115</v>
      </c>
      <c r="AU35" s="614" t="s">
        <v>20</v>
      </c>
      <c r="AV35" s="135">
        <f>'Ribassi PE'!$K$27</f>
        <v>7.0000000000000007E-2</v>
      </c>
      <c r="AW35" s="136">
        <f t="shared" si="6"/>
        <v>0.107</v>
      </c>
      <c r="AX35" s="135">
        <f>'Ribassi PE'!$M$27</f>
        <v>0.6</v>
      </c>
      <c r="AY35" s="136">
        <f t="shared" si="7"/>
        <v>4.5999999999999999E-2</v>
      </c>
      <c r="AZ35" s="576"/>
      <c r="BA35" s="576"/>
      <c r="BB35" s="576"/>
      <c r="BC35" s="576"/>
      <c r="BD35" s="576"/>
      <c r="BE35" s="576"/>
      <c r="BF35" s="576"/>
      <c r="BG35" s="576"/>
      <c r="BH35" s="576"/>
      <c r="BI35" s="576"/>
      <c r="BJ35" s="576"/>
      <c r="BK35" s="576"/>
      <c r="BL35" s="576"/>
      <c r="BM35" s="576"/>
      <c r="BN35" s="576"/>
      <c r="BO35" s="576"/>
      <c r="BP35" s="576"/>
      <c r="BQ35" s="576"/>
      <c r="BR35" s="576"/>
      <c r="BS35" s="576"/>
      <c r="BT35" s="576"/>
      <c r="BU35" s="576"/>
      <c r="BV35" s="576"/>
      <c r="BW35" s="576"/>
      <c r="BX35" s="577"/>
    </row>
    <row r="36" spans="1:76" ht="45.75" thickBot="1" x14ac:dyDescent="0.25">
      <c r="A36" s="575"/>
      <c r="B36" s="545" t="s">
        <v>917</v>
      </c>
      <c r="C36" s="986" t="s">
        <v>848</v>
      </c>
      <c r="D36" s="310" t="s">
        <v>954</v>
      </c>
      <c r="E36" s="303" t="s">
        <v>1162</v>
      </c>
      <c r="F36" s="861"/>
      <c r="G36" s="862"/>
      <c r="H36" s="469"/>
      <c r="I36" s="470"/>
      <c r="J36" s="469"/>
      <c r="K36" s="470"/>
      <c r="L36" s="469"/>
      <c r="M36" s="470"/>
      <c r="N36" s="469"/>
      <c r="O36" s="470"/>
      <c r="P36" s="469"/>
      <c r="Q36" s="470"/>
      <c r="R36" s="469"/>
      <c r="S36" s="470"/>
      <c r="T36" s="469"/>
      <c r="U36" s="470"/>
      <c r="V36" s="469"/>
      <c r="W36" s="470"/>
      <c r="X36" s="469"/>
      <c r="Y36" s="470"/>
      <c r="Z36" s="469"/>
      <c r="AA36" s="470"/>
      <c r="AB36" s="469"/>
      <c r="AC36" s="470"/>
      <c r="AD36" s="469"/>
      <c r="AE36" s="470"/>
      <c r="AF36" s="469"/>
      <c r="AG36" s="470"/>
      <c r="AH36" s="469"/>
      <c r="AI36" s="470"/>
      <c r="AJ36" s="469"/>
      <c r="AK36" s="470"/>
      <c r="AL36" s="469"/>
      <c r="AM36" s="470"/>
      <c r="AN36" s="469"/>
      <c r="AO36" s="470"/>
      <c r="AP36" s="469"/>
      <c r="AQ36" s="470"/>
      <c r="AR36" s="469"/>
      <c r="AS36" s="470"/>
      <c r="AT36" s="130">
        <v>0.41199999999999998</v>
      </c>
      <c r="AU36" s="613" t="s">
        <v>20</v>
      </c>
      <c r="AV36" s="133">
        <f>'Ribassi PE'!$K$27</f>
        <v>7.0000000000000007E-2</v>
      </c>
      <c r="AW36" s="132">
        <f t="shared" si="6"/>
        <v>0.38300000000000001</v>
      </c>
      <c r="AX36" s="133">
        <f>'Ribassi PE'!$M$27</f>
        <v>0.6</v>
      </c>
      <c r="AY36" s="132">
        <f t="shared" si="7"/>
        <v>0.16500000000000001</v>
      </c>
      <c r="AZ36" s="576"/>
      <c r="BA36" s="576"/>
      <c r="BB36" s="576"/>
      <c r="BC36" s="576"/>
      <c r="BD36" s="576"/>
      <c r="BE36" s="576"/>
      <c r="BF36" s="576"/>
      <c r="BG36" s="576"/>
      <c r="BH36" s="576"/>
      <c r="BI36" s="576"/>
      <c r="BJ36" s="576"/>
      <c r="BK36" s="576"/>
      <c r="BL36" s="576"/>
      <c r="BM36" s="576"/>
      <c r="BN36" s="576"/>
      <c r="BO36" s="576"/>
      <c r="BP36" s="576"/>
      <c r="BQ36" s="576"/>
      <c r="BR36" s="576"/>
      <c r="BS36" s="576"/>
      <c r="BT36" s="576"/>
      <c r="BU36" s="576"/>
      <c r="BV36" s="576"/>
      <c r="BW36" s="576"/>
      <c r="BX36" s="577"/>
    </row>
    <row r="37" spans="1:76" ht="23.25" thickBot="1" x14ac:dyDescent="0.25">
      <c r="A37" s="575"/>
      <c r="B37" s="546" t="s">
        <v>918</v>
      </c>
      <c r="C37" s="988"/>
      <c r="D37" s="298" t="s">
        <v>855</v>
      </c>
      <c r="E37" s="299" t="s">
        <v>1162</v>
      </c>
      <c r="F37" s="865"/>
      <c r="G37" s="866"/>
      <c r="H37" s="473"/>
      <c r="I37" s="474"/>
      <c r="J37" s="473"/>
      <c r="K37" s="474"/>
      <c r="L37" s="473"/>
      <c r="M37" s="474"/>
      <c r="N37" s="473"/>
      <c r="O37" s="474"/>
      <c r="P37" s="473"/>
      <c r="Q37" s="474"/>
      <c r="R37" s="473"/>
      <c r="S37" s="474"/>
      <c r="T37" s="473"/>
      <c r="U37" s="474"/>
      <c r="V37" s="473"/>
      <c r="W37" s="474"/>
      <c r="X37" s="473"/>
      <c r="Y37" s="474"/>
      <c r="Z37" s="473"/>
      <c r="AA37" s="474"/>
      <c r="AB37" s="473"/>
      <c r="AC37" s="474"/>
      <c r="AD37" s="473"/>
      <c r="AE37" s="474"/>
      <c r="AF37" s="473"/>
      <c r="AG37" s="474"/>
      <c r="AH37" s="473"/>
      <c r="AI37" s="474"/>
      <c r="AJ37" s="473"/>
      <c r="AK37" s="474"/>
      <c r="AL37" s="473"/>
      <c r="AM37" s="474"/>
      <c r="AN37" s="473"/>
      <c r="AO37" s="474"/>
      <c r="AP37" s="473"/>
      <c r="AQ37" s="474"/>
      <c r="AR37" s="473"/>
      <c r="AS37" s="474"/>
      <c r="AT37" s="247">
        <v>1.3660000000000001</v>
      </c>
      <c r="AU37" s="614" t="s">
        <v>20</v>
      </c>
      <c r="AV37" s="135">
        <f>'Ribassi PE'!$K$27</f>
        <v>7.0000000000000007E-2</v>
      </c>
      <c r="AW37" s="136">
        <f t="shared" si="6"/>
        <v>1.27</v>
      </c>
      <c r="AX37" s="135">
        <f>'Ribassi PE'!$M$27</f>
        <v>0.6</v>
      </c>
      <c r="AY37" s="136">
        <f t="shared" si="7"/>
        <v>0.54600000000000004</v>
      </c>
      <c r="AZ37" s="576"/>
      <c r="BA37" s="576"/>
      <c r="BB37" s="576"/>
      <c r="BC37" s="576"/>
      <c r="BD37" s="576"/>
      <c r="BE37" s="576"/>
      <c r="BF37" s="576"/>
      <c r="BG37" s="576"/>
      <c r="BH37" s="576"/>
      <c r="BI37" s="576"/>
      <c r="BJ37" s="576"/>
      <c r="BK37" s="576"/>
      <c r="BL37" s="576"/>
      <c r="BM37" s="576"/>
      <c r="BN37" s="576"/>
      <c r="BO37" s="576"/>
      <c r="BP37" s="576"/>
      <c r="BQ37" s="576"/>
      <c r="BR37" s="576"/>
      <c r="BS37" s="576"/>
      <c r="BT37" s="576"/>
      <c r="BU37" s="576"/>
      <c r="BV37" s="576"/>
      <c r="BW37" s="576"/>
      <c r="BX37" s="577"/>
    </row>
    <row r="38" spans="1:76" ht="34.5" thickBot="1" x14ac:dyDescent="0.25">
      <c r="A38" s="575"/>
      <c r="B38" s="547" t="s">
        <v>919</v>
      </c>
      <c r="C38" s="989"/>
      <c r="D38" s="304" t="s">
        <v>955</v>
      </c>
      <c r="E38" s="301" t="s">
        <v>1162</v>
      </c>
      <c r="F38" s="867">
        <v>158</v>
      </c>
      <c r="G38" s="868">
        <v>1</v>
      </c>
      <c r="H38" s="475"/>
      <c r="I38" s="476"/>
      <c r="J38" s="475"/>
      <c r="K38" s="476"/>
      <c r="L38" s="475"/>
      <c r="M38" s="476"/>
      <c r="N38" s="475"/>
      <c r="O38" s="476"/>
      <c r="P38" s="475"/>
      <c r="Q38" s="476"/>
      <c r="R38" s="475"/>
      <c r="S38" s="476"/>
      <c r="T38" s="475"/>
      <c r="U38" s="476"/>
      <c r="V38" s="475"/>
      <c r="W38" s="476"/>
      <c r="X38" s="475"/>
      <c r="Y38" s="476"/>
      <c r="Z38" s="475"/>
      <c r="AA38" s="476"/>
      <c r="AB38" s="475"/>
      <c r="AC38" s="476"/>
      <c r="AD38" s="475"/>
      <c r="AE38" s="476"/>
      <c r="AF38" s="475"/>
      <c r="AG38" s="476"/>
      <c r="AH38" s="475"/>
      <c r="AI38" s="476"/>
      <c r="AJ38" s="475"/>
      <c r="AK38" s="476"/>
      <c r="AL38" s="475"/>
      <c r="AM38" s="476"/>
      <c r="AN38" s="475"/>
      <c r="AO38" s="476"/>
      <c r="AP38" s="475"/>
      <c r="AQ38" s="476"/>
      <c r="AR38" s="475"/>
      <c r="AS38" s="476"/>
      <c r="AT38" s="251">
        <v>1.456</v>
      </c>
      <c r="AU38" s="615" t="s">
        <v>20</v>
      </c>
      <c r="AV38" s="138">
        <f>'Ribassi PE'!$K$27</f>
        <v>7.0000000000000007E-2</v>
      </c>
      <c r="AW38" s="252">
        <f t="shared" si="6"/>
        <v>1.3540000000000001</v>
      </c>
      <c r="AX38" s="138">
        <f>'Ribassi PE'!$M$27</f>
        <v>0.6</v>
      </c>
      <c r="AY38" s="252">
        <f t="shared" si="7"/>
        <v>0.58199999999999996</v>
      </c>
      <c r="AZ38" s="576"/>
      <c r="BA38" s="576"/>
      <c r="BB38" s="576"/>
      <c r="BC38" s="576"/>
      <c r="BD38" s="576"/>
      <c r="BE38" s="576"/>
      <c r="BF38" s="576"/>
      <c r="BG38" s="576"/>
      <c r="BH38" s="576"/>
      <c r="BI38" s="576"/>
      <c r="BJ38" s="576"/>
      <c r="BK38" s="576"/>
      <c r="BL38" s="576"/>
      <c r="BM38" s="576"/>
      <c r="BN38" s="576"/>
      <c r="BO38" s="576"/>
      <c r="BP38" s="576"/>
      <c r="BQ38" s="576"/>
      <c r="BR38" s="576"/>
      <c r="BS38" s="576"/>
      <c r="BT38" s="576"/>
      <c r="BU38" s="576"/>
      <c r="BV38" s="576"/>
      <c r="BW38" s="576"/>
      <c r="BX38" s="577"/>
    </row>
    <row r="39" spans="1:76" ht="12" thickBot="1" x14ac:dyDescent="0.25">
      <c r="A39" s="575"/>
      <c r="B39" s="311" t="s">
        <v>920</v>
      </c>
      <c r="C39" s="312" t="s">
        <v>879</v>
      </c>
      <c r="D39" s="313" t="s">
        <v>956</v>
      </c>
      <c r="E39" s="314" t="s">
        <v>1163</v>
      </c>
      <c r="F39" s="873"/>
      <c r="G39" s="874"/>
      <c r="H39" s="481"/>
      <c r="I39" s="482"/>
      <c r="J39" s="481"/>
      <c r="K39" s="482"/>
      <c r="L39" s="481"/>
      <c r="M39" s="482"/>
      <c r="N39" s="481"/>
      <c r="O39" s="482"/>
      <c r="P39" s="481"/>
      <c r="Q39" s="482"/>
      <c r="R39" s="481"/>
      <c r="S39" s="482"/>
      <c r="T39" s="481"/>
      <c r="U39" s="482"/>
      <c r="V39" s="481"/>
      <c r="W39" s="482"/>
      <c r="X39" s="481"/>
      <c r="Y39" s="482"/>
      <c r="Z39" s="481"/>
      <c r="AA39" s="482"/>
      <c r="AB39" s="481"/>
      <c r="AC39" s="482"/>
      <c r="AD39" s="481"/>
      <c r="AE39" s="482"/>
      <c r="AF39" s="481"/>
      <c r="AG39" s="482"/>
      <c r="AH39" s="481"/>
      <c r="AI39" s="482"/>
      <c r="AJ39" s="481"/>
      <c r="AK39" s="482"/>
      <c r="AL39" s="481"/>
      <c r="AM39" s="482"/>
      <c r="AN39" s="481"/>
      <c r="AO39" s="482"/>
      <c r="AP39" s="481"/>
      <c r="AQ39" s="482"/>
      <c r="AR39" s="481"/>
      <c r="AS39" s="482"/>
      <c r="AT39" s="290">
        <v>0.72799999999999998</v>
      </c>
      <c r="AU39" s="614" t="s">
        <v>20</v>
      </c>
      <c r="AV39" s="266">
        <f>'Ribassi PE'!$K$27</f>
        <v>7.0000000000000007E-2</v>
      </c>
      <c r="AW39" s="267">
        <f t="shared" si="6"/>
        <v>0.67700000000000005</v>
      </c>
      <c r="AX39" s="266">
        <f>'Ribassi PE'!$M$27</f>
        <v>0.6</v>
      </c>
      <c r="AY39" s="267">
        <f t="shared" si="7"/>
        <v>0.29099999999999998</v>
      </c>
      <c r="AZ39" s="576"/>
      <c r="BA39" s="576"/>
      <c r="BB39" s="576"/>
      <c r="BC39" s="576"/>
      <c r="BD39" s="576"/>
      <c r="BE39" s="576"/>
      <c r="BF39" s="576"/>
      <c r="BG39" s="576"/>
      <c r="BH39" s="576"/>
      <c r="BI39" s="576"/>
      <c r="BJ39" s="576"/>
      <c r="BK39" s="576"/>
      <c r="BL39" s="576"/>
      <c r="BM39" s="576"/>
      <c r="BN39" s="576"/>
      <c r="BO39" s="576"/>
      <c r="BP39" s="576"/>
      <c r="BQ39" s="576"/>
      <c r="BR39" s="576"/>
      <c r="BS39" s="576"/>
      <c r="BT39" s="576"/>
      <c r="BU39" s="576"/>
      <c r="BV39" s="576"/>
      <c r="BW39" s="576"/>
      <c r="BX39" s="577"/>
    </row>
    <row r="40" spans="1:76" ht="23.25" thickBot="1" x14ac:dyDescent="0.25">
      <c r="A40" s="575"/>
      <c r="B40" s="311" t="s">
        <v>921</v>
      </c>
      <c r="C40" s="312" t="s">
        <v>880</v>
      </c>
      <c r="D40" s="313" t="s">
        <v>957</v>
      </c>
      <c r="E40" s="314" t="s">
        <v>1163</v>
      </c>
      <c r="F40" s="875">
        <f>350+18</f>
        <v>368</v>
      </c>
      <c r="G40" s="876">
        <v>52</v>
      </c>
      <c r="H40" s="483"/>
      <c r="I40" s="484"/>
      <c r="J40" s="483"/>
      <c r="K40" s="484"/>
      <c r="L40" s="483"/>
      <c r="M40" s="484"/>
      <c r="N40" s="483"/>
      <c r="O40" s="484"/>
      <c r="P40" s="483"/>
      <c r="Q40" s="484"/>
      <c r="R40" s="483"/>
      <c r="S40" s="484"/>
      <c r="T40" s="483"/>
      <c r="U40" s="484"/>
      <c r="V40" s="483"/>
      <c r="W40" s="484"/>
      <c r="X40" s="483"/>
      <c r="Y40" s="484"/>
      <c r="Z40" s="483"/>
      <c r="AA40" s="484"/>
      <c r="AB40" s="483"/>
      <c r="AC40" s="484"/>
      <c r="AD40" s="483"/>
      <c r="AE40" s="484"/>
      <c r="AF40" s="483"/>
      <c r="AG40" s="484"/>
      <c r="AH40" s="483"/>
      <c r="AI40" s="484"/>
      <c r="AJ40" s="483"/>
      <c r="AK40" s="484"/>
      <c r="AL40" s="483"/>
      <c r="AM40" s="484"/>
      <c r="AN40" s="483"/>
      <c r="AO40" s="484"/>
      <c r="AP40" s="483"/>
      <c r="AQ40" s="484"/>
      <c r="AR40" s="483"/>
      <c r="AS40" s="484"/>
      <c r="AT40" s="291">
        <v>6.0999999999999999E-2</v>
      </c>
      <c r="AU40" s="616" t="s">
        <v>20</v>
      </c>
      <c r="AV40" s="277">
        <f>'Ribassi PE'!$K$27</f>
        <v>7.0000000000000007E-2</v>
      </c>
      <c r="AW40" s="292">
        <f t="shared" ref="AW40:AW43" si="8">ROUND(AT40*(1-AV40),3)</f>
        <v>5.7000000000000002E-2</v>
      </c>
      <c r="AX40" s="277">
        <f>'Ribassi PE'!$M$27</f>
        <v>0.6</v>
      </c>
      <c r="AY40" s="292">
        <f t="shared" ref="AY40:AY43" si="9">ROUND(AT40*(1-AX40),3)</f>
        <v>2.4E-2</v>
      </c>
      <c r="AZ40" s="576"/>
      <c r="BA40" s="576"/>
      <c r="BB40" s="576"/>
      <c r="BC40" s="576"/>
      <c r="BD40" s="576"/>
      <c r="BE40" s="576"/>
      <c r="BF40" s="576"/>
      <c r="BG40" s="576"/>
      <c r="BH40" s="576"/>
      <c r="BI40" s="576"/>
      <c r="BJ40" s="576"/>
      <c r="BK40" s="576"/>
      <c r="BL40" s="576"/>
      <c r="BM40" s="576"/>
      <c r="BN40" s="576"/>
      <c r="BO40" s="576"/>
      <c r="BP40" s="576"/>
      <c r="BQ40" s="576"/>
      <c r="BR40" s="576"/>
      <c r="BS40" s="576"/>
      <c r="BT40" s="576"/>
      <c r="BU40" s="576"/>
      <c r="BV40" s="576"/>
      <c r="BW40" s="576"/>
      <c r="BX40" s="577"/>
    </row>
    <row r="41" spans="1:76" ht="57" thickBot="1" x14ac:dyDescent="0.25">
      <c r="A41" s="575"/>
      <c r="B41" s="311" t="s">
        <v>922</v>
      </c>
      <c r="C41" s="312" t="s">
        <v>881</v>
      </c>
      <c r="D41" s="313" t="s">
        <v>958</v>
      </c>
      <c r="E41" s="314" t="s">
        <v>1163</v>
      </c>
      <c r="F41" s="873"/>
      <c r="G41" s="874"/>
      <c r="H41" s="481"/>
      <c r="I41" s="482"/>
      <c r="J41" s="481"/>
      <c r="K41" s="482"/>
      <c r="L41" s="481"/>
      <c r="M41" s="482"/>
      <c r="N41" s="481"/>
      <c r="O41" s="482"/>
      <c r="P41" s="481"/>
      <c r="Q41" s="482"/>
      <c r="R41" s="481"/>
      <c r="S41" s="482"/>
      <c r="T41" s="481"/>
      <c r="U41" s="482"/>
      <c r="V41" s="481"/>
      <c r="W41" s="482"/>
      <c r="X41" s="481"/>
      <c r="Y41" s="482"/>
      <c r="Z41" s="481"/>
      <c r="AA41" s="482"/>
      <c r="AB41" s="481"/>
      <c r="AC41" s="482"/>
      <c r="AD41" s="481"/>
      <c r="AE41" s="482"/>
      <c r="AF41" s="481"/>
      <c r="AG41" s="482"/>
      <c r="AH41" s="481"/>
      <c r="AI41" s="482"/>
      <c r="AJ41" s="481"/>
      <c r="AK41" s="482"/>
      <c r="AL41" s="481"/>
      <c r="AM41" s="482"/>
      <c r="AN41" s="481"/>
      <c r="AO41" s="482"/>
      <c r="AP41" s="481"/>
      <c r="AQ41" s="482"/>
      <c r="AR41" s="481"/>
      <c r="AS41" s="482"/>
      <c r="AT41" s="290">
        <v>1.2130000000000001</v>
      </c>
      <c r="AU41" s="614" t="s">
        <v>20</v>
      </c>
      <c r="AV41" s="266">
        <f>'Ribassi PE'!$K$27</f>
        <v>7.0000000000000007E-2</v>
      </c>
      <c r="AW41" s="267">
        <f t="shared" si="8"/>
        <v>1.1279999999999999</v>
      </c>
      <c r="AX41" s="266">
        <f>'Ribassi PE'!$M$27</f>
        <v>0.6</v>
      </c>
      <c r="AY41" s="267">
        <f t="shared" si="9"/>
        <v>0.48499999999999999</v>
      </c>
      <c r="AZ41" s="576"/>
      <c r="BA41" s="576"/>
      <c r="BB41" s="576"/>
      <c r="BC41" s="576"/>
      <c r="BD41" s="576"/>
      <c r="BE41" s="576"/>
      <c r="BF41" s="576"/>
      <c r="BG41" s="576"/>
      <c r="BH41" s="576"/>
      <c r="BI41" s="576"/>
      <c r="BJ41" s="576"/>
      <c r="BK41" s="576"/>
      <c r="BL41" s="576"/>
      <c r="BM41" s="576"/>
      <c r="BN41" s="576"/>
      <c r="BO41" s="576"/>
      <c r="BP41" s="576"/>
      <c r="BQ41" s="576"/>
      <c r="BR41" s="576"/>
      <c r="BS41" s="576"/>
      <c r="BT41" s="576"/>
      <c r="BU41" s="576"/>
      <c r="BV41" s="576"/>
      <c r="BW41" s="576"/>
      <c r="BX41" s="577"/>
    </row>
    <row r="42" spans="1:76" ht="23.25" thickBot="1" x14ac:dyDescent="0.25">
      <c r="A42" s="575"/>
      <c r="B42" s="545" t="s">
        <v>923</v>
      </c>
      <c r="C42" s="986" t="s">
        <v>882</v>
      </c>
      <c r="D42" s="310" t="s">
        <v>959</v>
      </c>
      <c r="E42" s="303" t="s">
        <v>1163</v>
      </c>
      <c r="F42" s="861"/>
      <c r="G42" s="862"/>
      <c r="H42" s="469"/>
      <c r="I42" s="470"/>
      <c r="J42" s="469"/>
      <c r="K42" s="470"/>
      <c r="L42" s="469"/>
      <c r="M42" s="470"/>
      <c r="N42" s="469"/>
      <c r="O42" s="470"/>
      <c r="P42" s="469"/>
      <c r="Q42" s="470"/>
      <c r="R42" s="469"/>
      <c r="S42" s="470"/>
      <c r="T42" s="469"/>
      <c r="U42" s="470"/>
      <c r="V42" s="469"/>
      <c r="W42" s="470"/>
      <c r="X42" s="469"/>
      <c r="Y42" s="470"/>
      <c r="Z42" s="469"/>
      <c r="AA42" s="470"/>
      <c r="AB42" s="469"/>
      <c r="AC42" s="470"/>
      <c r="AD42" s="469"/>
      <c r="AE42" s="470"/>
      <c r="AF42" s="469"/>
      <c r="AG42" s="470"/>
      <c r="AH42" s="469"/>
      <c r="AI42" s="470"/>
      <c r="AJ42" s="469"/>
      <c r="AK42" s="470"/>
      <c r="AL42" s="469"/>
      <c r="AM42" s="470"/>
      <c r="AN42" s="469"/>
      <c r="AO42" s="470"/>
      <c r="AP42" s="469"/>
      <c r="AQ42" s="470"/>
      <c r="AR42" s="469"/>
      <c r="AS42" s="470"/>
      <c r="AT42" s="130">
        <v>1.986</v>
      </c>
      <c r="AU42" s="613" t="s">
        <v>20</v>
      </c>
      <c r="AV42" s="133">
        <f>'Ribassi PE'!$K$27</f>
        <v>7.0000000000000007E-2</v>
      </c>
      <c r="AW42" s="132">
        <f t="shared" si="8"/>
        <v>1.847</v>
      </c>
      <c r="AX42" s="133">
        <f>'Ribassi PE'!$M$27</f>
        <v>0.6</v>
      </c>
      <c r="AY42" s="132">
        <f t="shared" si="9"/>
        <v>0.79400000000000004</v>
      </c>
      <c r="AZ42" s="576"/>
      <c r="BA42" s="576"/>
      <c r="BB42" s="576"/>
      <c r="BC42" s="576"/>
      <c r="BD42" s="576"/>
      <c r="BE42" s="576"/>
      <c r="BF42" s="576"/>
      <c r="BG42" s="576"/>
      <c r="BH42" s="576"/>
      <c r="BI42" s="576"/>
      <c r="BJ42" s="576"/>
      <c r="BK42" s="576"/>
      <c r="BL42" s="576"/>
      <c r="BM42" s="576"/>
      <c r="BN42" s="576"/>
      <c r="BO42" s="576"/>
      <c r="BP42" s="576"/>
      <c r="BQ42" s="576"/>
      <c r="BR42" s="576"/>
      <c r="BS42" s="576"/>
      <c r="BT42" s="576"/>
      <c r="BU42" s="576"/>
      <c r="BV42" s="576"/>
      <c r="BW42" s="576"/>
      <c r="BX42" s="577"/>
    </row>
    <row r="43" spans="1:76" ht="23.25" thickBot="1" x14ac:dyDescent="0.25">
      <c r="A43" s="575"/>
      <c r="B43" s="546" t="s">
        <v>924</v>
      </c>
      <c r="C43" s="988"/>
      <c r="D43" s="298" t="s">
        <v>960</v>
      </c>
      <c r="E43" s="299" t="s">
        <v>1163</v>
      </c>
      <c r="F43" s="865"/>
      <c r="G43" s="866"/>
      <c r="H43" s="473"/>
      <c r="I43" s="474"/>
      <c r="J43" s="473"/>
      <c r="K43" s="474"/>
      <c r="L43" s="473"/>
      <c r="M43" s="474"/>
      <c r="N43" s="473"/>
      <c r="O43" s="474"/>
      <c r="P43" s="473"/>
      <c r="Q43" s="474"/>
      <c r="R43" s="473"/>
      <c r="S43" s="474"/>
      <c r="T43" s="473"/>
      <c r="U43" s="474"/>
      <c r="V43" s="473"/>
      <c r="W43" s="474"/>
      <c r="X43" s="473"/>
      <c r="Y43" s="474"/>
      <c r="Z43" s="473"/>
      <c r="AA43" s="474"/>
      <c r="AB43" s="473"/>
      <c r="AC43" s="474"/>
      <c r="AD43" s="473"/>
      <c r="AE43" s="474"/>
      <c r="AF43" s="473"/>
      <c r="AG43" s="474"/>
      <c r="AH43" s="473"/>
      <c r="AI43" s="474"/>
      <c r="AJ43" s="473"/>
      <c r="AK43" s="474"/>
      <c r="AL43" s="473"/>
      <c r="AM43" s="474"/>
      <c r="AN43" s="473"/>
      <c r="AO43" s="474"/>
      <c r="AP43" s="473"/>
      <c r="AQ43" s="474"/>
      <c r="AR43" s="473"/>
      <c r="AS43" s="474"/>
      <c r="AT43" s="247">
        <v>1.82</v>
      </c>
      <c r="AU43" s="614" t="s">
        <v>20</v>
      </c>
      <c r="AV43" s="135">
        <f>'Ribassi PE'!$K$27</f>
        <v>7.0000000000000007E-2</v>
      </c>
      <c r="AW43" s="136">
        <f t="shared" si="8"/>
        <v>1.6930000000000001</v>
      </c>
      <c r="AX43" s="135">
        <f>'Ribassi PE'!$M$27</f>
        <v>0.6</v>
      </c>
      <c r="AY43" s="136">
        <f t="shared" si="9"/>
        <v>0.72799999999999998</v>
      </c>
      <c r="AZ43" s="576"/>
      <c r="BA43" s="576"/>
      <c r="BB43" s="576"/>
      <c r="BC43" s="576"/>
      <c r="BD43" s="576"/>
      <c r="BE43" s="576"/>
      <c r="BF43" s="576"/>
      <c r="BG43" s="576"/>
      <c r="BH43" s="576"/>
      <c r="BI43" s="576"/>
      <c r="BJ43" s="576"/>
      <c r="BK43" s="576"/>
      <c r="BL43" s="576"/>
      <c r="BM43" s="576"/>
      <c r="BN43" s="576"/>
      <c r="BO43" s="576"/>
      <c r="BP43" s="576"/>
      <c r="BQ43" s="576"/>
      <c r="BR43" s="576"/>
      <c r="BS43" s="576"/>
      <c r="BT43" s="576"/>
      <c r="BU43" s="576"/>
      <c r="BV43" s="576"/>
      <c r="BW43" s="576"/>
      <c r="BX43" s="577"/>
    </row>
    <row r="44" spans="1:76" ht="23.25" thickBot="1" x14ac:dyDescent="0.25">
      <c r="A44" s="575"/>
      <c r="B44" s="546" t="s">
        <v>925</v>
      </c>
      <c r="C44" s="988"/>
      <c r="D44" s="298" t="s">
        <v>961</v>
      </c>
      <c r="E44" s="299" t="s">
        <v>1163</v>
      </c>
      <c r="F44" s="863"/>
      <c r="G44" s="864"/>
      <c r="H44" s="471"/>
      <c r="I44" s="472"/>
      <c r="J44" s="471"/>
      <c r="K44" s="472"/>
      <c r="L44" s="471"/>
      <c r="M44" s="472"/>
      <c r="N44" s="471"/>
      <c r="O44" s="472"/>
      <c r="P44" s="471"/>
      <c r="Q44" s="472"/>
      <c r="R44" s="471"/>
      <c r="S44" s="472"/>
      <c r="T44" s="471"/>
      <c r="U44" s="472"/>
      <c r="V44" s="471"/>
      <c r="W44" s="472"/>
      <c r="X44" s="471"/>
      <c r="Y44" s="472"/>
      <c r="Z44" s="471"/>
      <c r="AA44" s="472"/>
      <c r="AB44" s="471"/>
      <c r="AC44" s="472"/>
      <c r="AD44" s="471"/>
      <c r="AE44" s="472"/>
      <c r="AF44" s="471"/>
      <c r="AG44" s="472"/>
      <c r="AH44" s="471"/>
      <c r="AI44" s="472"/>
      <c r="AJ44" s="471"/>
      <c r="AK44" s="472"/>
      <c r="AL44" s="471"/>
      <c r="AM44" s="472"/>
      <c r="AN44" s="471"/>
      <c r="AO44" s="472"/>
      <c r="AP44" s="471"/>
      <c r="AQ44" s="472"/>
      <c r="AR44" s="471"/>
      <c r="AS44" s="472"/>
      <c r="AT44" s="164">
        <v>1.456</v>
      </c>
      <c r="AU44" s="614" t="s">
        <v>20</v>
      </c>
      <c r="AV44" s="165">
        <f>'Ribassi PE'!$K$27</f>
        <v>7.0000000000000007E-2</v>
      </c>
      <c r="AW44" s="166">
        <f t="shared" si="6"/>
        <v>1.3540000000000001</v>
      </c>
      <c r="AX44" s="165">
        <f>'Ribassi PE'!$M$27</f>
        <v>0.6</v>
      </c>
      <c r="AY44" s="166">
        <f t="shared" si="7"/>
        <v>0.58199999999999996</v>
      </c>
      <c r="AZ44" s="576"/>
      <c r="BA44" s="576"/>
      <c r="BB44" s="576"/>
      <c r="BC44" s="576"/>
      <c r="BD44" s="576"/>
      <c r="BE44" s="576"/>
      <c r="BF44" s="576"/>
      <c r="BG44" s="576"/>
      <c r="BH44" s="576"/>
      <c r="BI44" s="576"/>
      <c r="BJ44" s="576"/>
      <c r="BK44" s="576"/>
      <c r="BL44" s="576"/>
      <c r="BM44" s="576"/>
      <c r="BN44" s="576"/>
      <c r="BO44" s="576"/>
      <c r="BP44" s="576"/>
      <c r="BQ44" s="576"/>
      <c r="BR44" s="576"/>
      <c r="BS44" s="576"/>
      <c r="BT44" s="576"/>
      <c r="BU44" s="576"/>
      <c r="BV44" s="576"/>
      <c r="BW44" s="576"/>
      <c r="BX44" s="577"/>
    </row>
    <row r="45" spans="1:76" ht="23.25" thickBot="1" x14ac:dyDescent="0.25">
      <c r="A45" s="575"/>
      <c r="B45" s="547" t="s">
        <v>926</v>
      </c>
      <c r="C45" s="989"/>
      <c r="D45" s="304" t="s">
        <v>962</v>
      </c>
      <c r="E45" s="301" t="s">
        <v>1163</v>
      </c>
      <c r="F45" s="867"/>
      <c r="G45" s="868"/>
      <c r="H45" s="475"/>
      <c r="I45" s="476"/>
      <c r="J45" s="475"/>
      <c r="K45" s="476"/>
      <c r="L45" s="475"/>
      <c r="M45" s="476"/>
      <c r="N45" s="475"/>
      <c r="O45" s="476"/>
      <c r="P45" s="475"/>
      <c r="Q45" s="476"/>
      <c r="R45" s="475"/>
      <c r="S45" s="476"/>
      <c r="T45" s="475"/>
      <c r="U45" s="476"/>
      <c r="V45" s="475"/>
      <c r="W45" s="476"/>
      <c r="X45" s="475"/>
      <c r="Y45" s="476"/>
      <c r="Z45" s="475"/>
      <c r="AA45" s="476"/>
      <c r="AB45" s="475"/>
      <c r="AC45" s="476"/>
      <c r="AD45" s="475"/>
      <c r="AE45" s="476"/>
      <c r="AF45" s="475"/>
      <c r="AG45" s="476"/>
      <c r="AH45" s="475"/>
      <c r="AI45" s="476"/>
      <c r="AJ45" s="475"/>
      <c r="AK45" s="476"/>
      <c r="AL45" s="475"/>
      <c r="AM45" s="476"/>
      <c r="AN45" s="475"/>
      <c r="AO45" s="476"/>
      <c r="AP45" s="475"/>
      <c r="AQ45" s="476"/>
      <c r="AR45" s="475"/>
      <c r="AS45" s="476"/>
      <c r="AT45" s="137">
        <v>0.182</v>
      </c>
      <c r="AU45" s="615" t="s">
        <v>20</v>
      </c>
      <c r="AV45" s="138">
        <f>'Ribassi PE'!$K$27</f>
        <v>7.0000000000000007E-2</v>
      </c>
      <c r="AW45" s="139">
        <f t="shared" si="6"/>
        <v>0.16900000000000001</v>
      </c>
      <c r="AX45" s="138">
        <f>'Ribassi PE'!$M$27</f>
        <v>0.6</v>
      </c>
      <c r="AY45" s="139">
        <f t="shared" si="7"/>
        <v>7.2999999999999995E-2</v>
      </c>
      <c r="AZ45" s="576"/>
      <c r="BA45" s="576"/>
      <c r="BB45" s="576"/>
      <c r="BC45" s="576"/>
      <c r="BD45" s="576"/>
      <c r="BE45" s="576"/>
      <c r="BF45" s="576"/>
      <c r="BG45" s="576"/>
      <c r="BH45" s="576"/>
      <c r="BI45" s="576"/>
      <c r="BJ45" s="576"/>
      <c r="BK45" s="576"/>
      <c r="BL45" s="576"/>
      <c r="BM45" s="576"/>
      <c r="BN45" s="576"/>
      <c r="BO45" s="576"/>
      <c r="BP45" s="576"/>
      <c r="BQ45" s="576"/>
      <c r="BR45" s="576"/>
      <c r="BS45" s="576"/>
      <c r="BT45" s="576"/>
      <c r="BU45" s="576"/>
      <c r="BV45" s="576"/>
      <c r="BW45" s="576"/>
      <c r="BX45" s="577"/>
    </row>
    <row r="46" spans="1:76" ht="23.25" thickBot="1" x14ac:dyDescent="0.25">
      <c r="A46" s="575"/>
      <c r="B46" s="311" t="s">
        <v>927</v>
      </c>
      <c r="C46" s="312" t="s">
        <v>883</v>
      </c>
      <c r="D46" s="313" t="s">
        <v>852</v>
      </c>
      <c r="E46" s="314" t="s">
        <v>1163</v>
      </c>
      <c r="F46" s="873"/>
      <c r="G46" s="874"/>
      <c r="H46" s="481"/>
      <c r="I46" s="482"/>
      <c r="J46" s="481"/>
      <c r="K46" s="482"/>
      <c r="L46" s="481"/>
      <c r="M46" s="482"/>
      <c r="N46" s="481"/>
      <c r="O46" s="482"/>
      <c r="P46" s="481"/>
      <c r="Q46" s="482"/>
      <c r="R46" s="481"/>
      <c r="S46" s="482"/>
      <c r="T46" s="481"/>
      <c r="U46" s="482"/>
      <c r="V46" s="481"/>
      <c r="W46" s="482"/>
      <c r="X46" s="481"/>
      <c r="Y46" s="482"/>
      <c r="Z46" s="481"/>
      <c r="AA46" s="482"/>
      <c r="AB46" s="481"/>
      <c r="AC46" s="482"/>
      <c r="AD46" s="481"/>
      <c r="AE46" s="482"/>
      <c r="AF46" s="481"/>
      <c r="AG46" s="482"/>
      <c r="AH46" s="481"/>
      <c r="AI46" s="482"/>
      <c r="AJ46" s="481"/>
      <c r="AK46" s="482"/>
      <c r="AL46" s="481"/>
      <c r="AM46" s="482"/>
      <c r="AN46" s="481"/>
      <c r="AO46" s="482"/>
      <c r="AP46" s="481"/>
      <c r="AQ46" s="482"/>
      <c r="AR46" s="481"/>
      <c r="AS46" s="482"/>
      <c r="AT46" s="293">
        <v>0.182</v>
      </c>
      <c r="AU46" s="614" t="s">
        <v>20</v>
      </c>
      <c r="AV46" s="266">
        <f>'Ribassi PE'!$K$27</f>
        <v>7.0000000000000007E-2</v>
      </c>
      <c r="AW46" s="294">
        <f t="shared" si="6"/>
        <v>0.16900000000000001</v>
      </c>
      <c r="AX46" s="266">
        <f>'Ribassi PE'!$M$27</f>
        <v>0.6</v>
      </c>
      <c r="AY46" s="294">
        <f t="shared" si="7"/>
        <v>7.2999999999999995E-2</v>
      </c>
      <c r="AZ46" s="576"/>
      <c r="BA46" s="576"/>
      <c r="BB46" s="576"/>
      <c r="BC46" s="576"/>
      <c r="BD46" s="576"/>
      <c r="BE46" s="576"/>
      <c r="BF46" s="576"/>
      <c r="BG46" s="576"/>
      <c r="BH46" s="576"/>
      <c r="BI46" s="576"/>
      <c r="BJ46" s="576"/>
      <c r="BK46" s="576"/>
      <c r="BL46" s="576"/>
      <c r="BM46" s="576"/>
      <c r="BN46" s="576"/>
      <c r="BO46" s="576"/>
      <c r="BP46" s="576"/>
      <c r="BQ46" s="576"/>
      <c r="BR46" s="576"/>
      <c r="BS46" s="576"/>
      <c r="BT46" s="576"/>
      <c r="BU46" s="576"/>
      <c r="BV46" s="576"/>
      <c r="BW46" s="576"/>
      <c r="BX46" s="577"/>
    </row>
    <row r="47" spans="1:76" ht="21.95" customHeight="1" thickBot="1" x14ac:dyDescent="0.25">
      <c r="A47" s="575"/>
      <c r="B47" s="545" t="s">
        <v>928</v>
      </c>
      <c r="C47" s="986" t="s">
        <v>850</v>
      </c>
      <c r="D47" s="310" t="s">
        <v>858</v>
      </c>
      <c r="E47" s="303" t="s">
        <v>1163</v>
      </c>
      <c r="F47" s="869">
        <v>84</v>
      </c>
      <c r="G47" s="870">
        <v>260</v>
      </c>
      <c r="H47" s="477"/>
      <c r="I47" s="478"/>
      <c r="J47" s="477"/>
      <c r="K47" s="478"/>
      <c r="L47" s="477"/>
      <c r="M47" s="478"/>
      <c r="N47" s="477"/>
      <c r="O47" s="478"/>
      <c r="P47" s="477"/>
      <c r="Q47" s="478"/>
      <c r="R47" s="477"/>
      <c r="S47" s="478"/>
      <c r="T47" s="477"/>
      <c r="U47" s="478"/>
      <c r="V47" s="477"/>
      <c r="W47" s="478"/>
      <c r="X47" s="477"/>
      <c r="Y47" s="478"/>
      <c r="Z47" s="477"/>
      <c r="AA47" s="478"/>
      <c r="AB47" s="477"/>
      <c r="AC47" s="478"/>
      <c r="AD47" s="477"/>
      <c r="AE47" s="478"/>
      <c r="AF47" s="477"/>
      <c r="AG47" s="478"/>
      <c r="AH47" s="477"/>
      <c r="AI47" s="478"/>
      <c r="AJ47" s="477"/>
      <c r="AK47" s="478"/>
      <c r="AL47" s="477"/>
      <c r="AM47" s="478"/>
      <c r="AN47" s="477"/>
      <c r="AO47" s="478"/>
      <c r="AP47" s="477"/>
      <c r="AQ47" s="478"/>
      <c r="AR47" s="477"/>
      <c r="AS47" s="478"/>
      <c r="AT47" s="289">
        <v>1.0920000000000001</v>
      </c>
      <c r="AU47" s="613" t="s">
        <v>20</v>
      </c>
      <c r="AV47" s="249">
        <f>'Ribassi PE'!$K$27</f>
        <v>7.0000000000000007E-2</v>
      </c>
      <c r="AW47" s="250">
        <f t="shared" si="6"/>
        <v>1.016</v>
      </c>
      <c r="AX47" s="249">
        <f>'Ribassi PE'!$M$27</f>
        <v>0.6</v>
      </c>
      <c r="AY47" s="250">
        <f t="shared" si="7"/>
        <v>0.437</v>
      </c>
      <c r="AZ47" s="576"/>
      <c r="BA47" s="576"/>
      <c r="BB47" s="576"/>
      <c r="BC47" s="576"/>
      <c r="BD47" s="576"/>
      <c r="BE47" s="576"/>
      <c r="BF47" s="576"/>
      <c r="BG47" s="576"/>
      <c r="BH47" s="576"/>
      <c r="BI47" s="576"/>
      <c r="BJ47" s="576"/>
      <c r="BK47" s="576"/>
      <c r="BL47" s="576"/>
      <c r="BM47" s="576"/>
      <c r="BN47" s="576"/>
      <c r="BO47" s="576"/>
      <c r="BP47" s="576"/>
      <c r="BQ47" s="576"/>
      <c r="BR47" s="576"/>
      <c r="BS47" s="576"/>
      <c r="BT47" s="576"/>
      <c r="BU47" s="576"/>
      <c r="BV47" s="576"/>
      <c r="BW47" s="576"/>
      <c r="BX47" s="577"/>
    </row>
    <row r="48" spans="1:76" ht="34.5" thickBot="1" x14ac:dyDescent="0.25">
      <c r="A48" s="575"/>
      <c r="B48" s="547" t="s">
        <v>929</v>
      </c>
      <c r="C48" s="989"/>
      <c r="D48" s="304" t="s">
        <v>859</v>
      </c>
      <c r="E48" s="301" t="s">
        <v>1163</v>
      </c>
      <c r="F48" s="867"/>
      <c r="G48" s="868"/>
      <c r="H48" s="475"/>
      <c r="I48" s="476"/>
      <c r="J48" s="475"/>
      <c r="K48" s="476"/>
      <c r="L48" s="475"/>
      <c r="M48" s="476"/>
      <c r="N48" s="475"/>
      <c r="O48" s="476"/>
      <c r="P48" s="475"/>
      <c r="Q48" s="476"/>
      <c r="R48" s="475"/>
      <c r="S48" s="476"/>
      <c r="T48" s="475"/>
      <c r="U48" s="476"/>
      <c r="V48" s="475"/>
      <c r="W48" s="476"/>
      <c r="X48" s="475"/>
      <c r="Y48" s="476"/>
      <c r="Z48" s="475"/>
      <c r="AA48" s="476"/>
      <c r="AB48" s="475"/>
      <c r="AC48" s="476"/>
      <c r="AD48" s="475"/>
      <c r="AE48" s="476"/>
      <c r="AF48" s="475"/>
      <c r="AG48" s="476"/>
      <c r="AH48" s="475"/>
      <c r="AI48" s="476"/>
      <c r="AJ48" s="475"/>
      <c r="AK48" s="476"/>
      <c r="AL48" s="475"/>
      <c r="AM48" s="476"/>
      <c r="AN48" s="475"/>
      <c r="AO48" s="476"/>
      <c r="AP48" s="475"/>
      <c r="AQ48" s="476"/>
      <c r="AR48" s="475"/>
      <c r="AS48" s="476"/>
      <c r="AT48" s="251">
        <v>0.91</v>
      </c>
      <c r="AU48" s="615" t="s">
        <v>20</v>
      </c>
      <c r="AV48" s="138">
        <f>'Ribassi PE'!$K$27</f>
        <v>7.0000000000000007E-2</v>
      </c>
      <c r="AW48" s="252">
        <f t="shared" si="6"/>
        <v>0.84599999999999997</v>
      </c>
      <c r="AX48" s="138">
        <f>'Ribassi PE'!$M$27</f>
        <v>0.6</v>
      </c>
      <c r="AY48" s="252">
        <f t="shared" si="7"/>
        <v>0.36399999999999999</v>
      </c>
      <c r="AZ48" s="576"/>
      <c r="BA48" s="576"/>
      <c r="BB48" s="576"/>
      <c r="BC48" s="576"/>
      <c r="BD48" s="576"/>
      <c r="BE48" s="576"/>
      <c r="BF48" s="576"/>
      <c r="BG48" s="576"/>
      <c r="BH48" s="576"/>
      <c r="BI48" s="576"/>
      <c r="BJ48" s="576"/>
      <c r="BK48" s="576"/>
      <c r="BL48" s="576"/>
      <c r="BM48" s="576"/>
      <c r="BN48" s="576"/>
      <c r="BO48" s="576"/>
      <c r="BP48" s="576"/>
      <c r="BQ48" s="576"/>
      <c r="BR48" s="576"/>
      <c r="BS48" s="576"/>
      <c r="BT48" s="576"/>
      <c r="BU48" s="576"/>
      <c r="BV48" s="576"/>
      <c r="BW48" s="576"/>
      <c r="BX48" s="577"/>
    </row>
    <row r="49" spans="1:76" ht="23.25" thickBot="1" x14ac:dyDescent="0.25">
      <c r="A49" s="575"/>
      <c r="B49" s="311" t="s">
        <v>930</v>
      </c>
      <c r="C49" s="312" t="s">
        <v>884</v>
      </c>
      <c r="D49" s="315" t="s">
        <v>963</v>
      </c>
      <c r="E49" s="314" t="s">
        <v>1162</v>
      </c>
      <c r="F49" s="873">
        <v>20000</v>
      </c>
      <c r="G49" s="874">
        <v>2</v>
      </c>
      <c r="H49" s="481"/>
      <c r="I49" s="482"/>
      <c r="J49" s="481"/>
      <c r="K49" s="482"/>
      <c r="L49" s="481"/>
      <c r="M49" s="482"/>
      <c r="N49" s="481"/>
      <c r="O49" s="482"/>
      <c r="P49" s="481"/>
      <c r="Q49" s="482"/>
      <c r="R49" s="481"/>
      <c r="S49" s="482"/>
      <c r="T49" s="481"/>
      <c r="U49" s="482"/>
      <c r="V49" s="481"/>
      <c r="W49" s="482"/>
      <c r="X49" s="481"/>
      <c r="Y49" s="482"/>
      <c r="Z49" s="481"/>
      <c r="AA49" s="482"/>
      <c r="AB49" s="481"/>
      <c r="AC49" s="482"/>
      <c r="AD49" s="481"/>
      <c r="AE49" s="482"/>
      <c r="AF49" s="481"/>
      <c r="AG49" s="482"/>
      <c r="AH49" s="481"/>
      <c r="AI49" s="482"/>
      <c r="AJ49" s="481"/>
      <c r="AK49" s="482"/>
      <c r="AL49" s="481"/>
      <c r="AM49" s="482"/>
      <c r="AN49" s="481"/>
      <c r="AO49" s="482"/>
      <c r="AP49" s="481"/>
      <c r="AQ49" s="482"/>
      <c r="AR49" s="481"/>
      <c r="AS49" s="482"/>
      <c r="AT49" s="290">
        <v>3.5999999999999997E-2</v>
      </c>
      <c r="AU49" s="614" t="s">
        <v>20</v>
      </c>
      <c r="AV49" s="266">
        <f>'Ribassi PE'!$K$27</f>
        <v>7.0000000000000007E-2</v>
      </c>
      <c r="AW49" s="267">
        <f t="shared" si="6"/>
        <v>3.3000000000000002E-2</v>
      </c>
      <c r="AX49" s="266">
        <f>'Ribassi PE'!$M$27</f>
        <v>0.6</v>
      </c>
      <c r="AY49" s="267">
        <f t="shared" si="7"/>
        <v>1.4E-2</v>
      </c>
      <c r="AZ49" s="576"/>
      <c r="BA49" s="576"/>
      <c r="BB49" s="576"/>
      <c r="BC49" s="576"/>
      <c r="BD49" s="576"/>
      <c r="BE49" s="576"/>
      <c r="BF49" s="576"/>
      <c r="BG49" s="576"/>
      <c r="BH49" s="576"/>
      <c r="BI49" s="576"/>
      <c r="BJ49" s="576"/>
      <c r="BK49" s="576"/>
      <c r="BL49" s="576"/>
      <c r="BM49" s="576"/>
      <c r="BN49" s="576"/>
      <c r="BO49" s="576"/>
      <c r="BP49" s="576"/>
      <c r="BQ49" s="576"/>
      <c r="BR49" s="576"/>
      <c r="BS49" s="576"/>
      <c r="BT49" s="576"/>
      <c r="BU49" s="576"/>
      <c r="BV49" s="576"/>
      <c r="BW49" s="576"/>
      <c r="BX49" s="577"/>
    </row>
    <row r="50" spans="1:76" ht="23.25" thickBot="1" x14ac:dyDescent="0.25">
      <c r="A50" s="575"/>
      <c r="B50" s="545" t="s">
        <v>931</v>
      </c>
      <c r="C50" s="986" t="s">
        <v>885</v>
      </c>
      <c r="D50" s="302" t="s">
        <v>964</v>
      </c>
      <c r="E50" s="303" t="s">
        <v>1162</v>
      </c>
      <c r="F50" s="861"/>
      <c r="G50" s="862"/>
      <c r="H50" s="469"/>
      <c r="I50" s="470"/>
      <c r="J50" s="469"/>
      <c r="K50" s="470"/>
      <c r="L50" s="469"/>
      <c r="M50" s="470"/>
      <c r="N50" s="469"/>
      <c r="O50" s="470"/>
      <c r="P50" s="469"/>
      <c r="Q50" s="470"/>
      <c r="R50" s="469"/>
      <c r="S50" s="470"/>
      <c r="T50" s="469"/>
      <c r="U50" s="470"/>
      <c r="V50" s="469"/>
      <c r="W50" s="470"/>
      <c r="X50" s="469"/>
      <c r="Y50" s="470"/>
      <c r="Z50" s="469"/>
      <c r="AA50" s="470"/>
      <c r="AB50" s="469"/>
      <c r="AC50" s="470"/>
      <c r="AD50" s="469"/>
      <c r="AE50" s="470"/>
      <c r="AF50" s="469"/>
      <c r="AG50" s="470"/>
      <c r="AH50" s="469"/>
      <c r="AI50" s="470"/>
      <c r="AJ50" s="469"/>
      <c r="AK50" s="470"/>
      <c r="AL50" s="469"/>
      <c r="AM50" s="470"/>
      <c r="AN50" s="469"/>
      <c r="AO50" s="470"/>
      <c r="AP50" s="469"/>
      <c r="AQ50" s="470"/>
      <c r="AR50" s="469"/>
      <c r="AS50" s="470"/>
      <c r="AT50" s="130">
        <v>0.218</v>
      </c>
      <c r="AU50" s="613" t="s">
        <v>20</v>
      </c>
      <c r="AV50" s="133">
        <f>'Ribassi PE'!$K$27</f>
        <v>7.0000000000000007E-2</v>
      </c>
      <c r="AW50" s="132">
        <f t="shared" si="6"/>
        <v>0.20300000000000001</v>
      </c>
      <c r="AX50" s="133">
        <f>'Ribassi PE'!$M$27</f>
        <v>0.6</v>
      </c>
      <c r="AY50" s="132">
        <f t="shared" si="7"/>
        <v>8.6999999999999994E-2</v>
      </c>
      <c r="AZ50" s="576"/>
      <c r="BA50" s="576"/>
      <c r="BB50" s="576"/>
      <c r="BC50" s="576"/>
      <c r="BD50" s="576"/>
      <c r="BE50" s="576"/>
      <c r="BF50" s="576"/>
      <c r="BG50" s="576"/>
      <c r="BH50" s="576"/>
      <c r="BI50" s="576"/>
      <c r="BJ50" s="576"/>
      <c r="BK50" s="576"/>
      <c r="BL50" s="576"/>
      <c r="BM50" s="576"/>
      <c r="BN50" s="576"/>
      <c r="BO50" s="576"/>
      <c r="BP50" s="576"/>
      <c r="BQ50" s="576"/>
      <c r="BR50" s="576"/>
      <c r="BS50" s="576"/>
      <c r="BT50" s="576"/>
      <c r="BU50" s="576"/>
      <c r="BV50" s="576"/>
      <c r="BW50" s="576"/>
      <c r="BX50" s="577"/>
    </row>
    <row r="51" spans="1:76" ht="34.5" thickBot="1" x14ac:dyDescent="0.25">
      <c r="A51" s="575"/>
      <c r="B51" s="546" t="s">
        <v>932</v>
      </c>
      <c r="C51" s="988"/>
      <c r="D51" s="307" t="s">
        <v>965</v>
      </c>
      <c r="E51" s="299" t="s">
        <v>1163</v>
      </c>
      <c r="F51" s="865">
        <v>9</v>
      </c>
      <c r="G51" s="866">
        <v>260</v>
      </c>
      <c r="H51" s="473"/>
      <c r="I51" s="474"/>
      <c r="J51" s="473"/>
      <c r="K51" s="474"/>
      <c r="L51" s="473"/>
      <c r="M51" s="474"/>
      <c r="N51" s="473"/>
      <c r="O51" s="474"/>
      <c r="P51" s="473"/>
      <c r="Q51" s="474"/>
      <c r="R51" s="473"/>
      <c r="S51" s="474"/>
      <c r="T51" s="473"/>
      <c r="U51" s="474"/>
      <c r="V51" s="473"/>
      <c r="W51" s="474"/>
      <c r="X51" s="473"/>
      <c r="Y51" s="474"/>
      <c r="Z51" s="473"/>
      <c r="AA51" s="474"/>
      <c r="AB51" s="473"/>
      <c r="AC51" s="474"/>
      <c r="AD51" s="473"/>
      <c r="AE51" s="474"/>
      <c r="AF51" s="473"/>
      <c r="AG51" s="474"/>
      <c r="AH51" s="473"/>
      <c r="AI51" s="474"/>
      <c r="AJ51" s="473"/>
      <c r="AK51" s="474"/>
      <c r="AL51" s="473"/>
      <c r="AM51" s="474"/>
      <c r="AN51" s="473"/>
      <c r="AO51" s="474"/>
      <c r="AP51" s="473"/>
      <c r="AQ51" s="474"/>
      <c r="AR51" s="473"/>
      <c r="AS51" s="474"/>
      <c r="AT51" s="247">
        <v>1.82</v>
      </c>
      <c r="AU51" s="614" t="s">
        <v>20</v>
      </c>
      <c r="AV51" s="135">
        <f>'Ribassi PE'!$K$27</f>
        <v>7.0000000000000007E-2</v>
      </c>
      <c r="AW51" s="136">
        <f t="shared" si="6"/>
        <v>1.6930000000000001</v>
      </c>
      <c r="AX51" s="135">
        <f>'Ribassi PE'!$M$27</f>
        <v>0.6</v>
      </c>
      <c r="AY51" s="136">
        <f t="shared" si="7"/>
        <v>0.72799999999999998</v>
      </c>
      <c r="AZ51" s="576"/>
      <c r="BA51" s="576"/>
      <c r="BB51" s="576"/>
      <c r="BC51" s="576"/>
      <c r="BD51" s="576"/>
      <c r="BE51" s="576"/>
      <c r="BF51" s="576"/>
      <c r="BG51" s="576"/>
      <c r="BH51" s="576"/>
      <c r="BI51" s="576"/>
      <c r="BJ51" s="576"/>
      <c r="BK51" s="576"/>
      <c r="BL51" s="576"/>
      <c r="BM51" s="576"/>
      <c r="BN51" s="576"/>
      <c r="BO51" s="576"/>
      <c r="BP51" s="576"/>
      <c r="BQ51" s="576"/>
      <c r="BR51" s="576"/>
      <c r="BS51" s="576"/>
      <c r="BT51" s="576"/>
      <c r="BU51" s="576"/>
      <c r="BV51" s="576"/>
      <c r="BW51" s="576"/>
      <c r="BX51" s="577"/>
    </row>
    <row r="52" spans="1:76" ht="23.25" thickBot="1" x14ac:dyDescent="0.25">
      <c r="A52" s="575"/>
      <c r="B52" s="546" t="s">
        <v>933</v>
      </c>
      <c r="C52" s="988"/>
      <c r="D52" s="307" t="s">
        <v>966</v>
      </c>
      <c r="E52" s="299" t="s">
        <v>1163</v>
      </c>
      <c r="F52" s="863"/>
      <c r="G52" s="864"/>
      <c r="H52" s="471"/>
      <c r="I52" s="472"/>
      <c r="J52" s="471"/>
      <c r="K52" s="472"/>
      <c r="L52" s="471"/>
      <c r="M52" s="472"/>
      <c r="N52" s="471"/>
      <c r="O52" s="472"/>
      <c r="P52" s="471"/>
      <c r="Q52" s="472"/>
      <c r="R52" s="471"/>
      <c r="S52" s="472"/>
      <c r="T52" s="471"/>
      <c r="U52" s="472"/>
      <c r="V52" s="471"/>
      <c r="W52" s="472"/>
      <c r="X52" s="471"/>
      <c r="Y52" s="472"/>
      <c r="Z52" s="471"/>
      <c r="AA52" s="472"/>
      <c r="AB52" s="471"/>
      <c r="AC52" s="472"/>
      <c r="AD52" s="471"/>
      <c r="AE52" s="472"/>
      <c r="AF52" s="471"/>
      <c r="AG52" s="472"/>
      <c r="AH52" s="471"/>
      <c r="AI52" s="472"/>
      <c r="AJ52" s="471"/>
      <c r="AK52" s="472"/>
      <c r="AL52" s="471"/>
      <c r="AM52" s="472"/>
      <c r="AN52" s="471"/>
      <c r="AO52" s="472"/>
      <c r="AP52" s="471"/>
      <c r="AQ52" s="472"/>
      <c r="AR52" s="471"/>
      <c r="AS52" s="472"/>
      <c r="AT52" s="164">
        <v>2.427</v>
      </c>
      <c r="AU52" s="614" t="s">
        <v>20</v>
      </c>
      <c r="AV52" s="165">
        <f>'Ribassi PE'!$K$27</f>
        <v>7.0000000000000007E-2</v>
      </c>
      <c r="AW52" s="166">
        <f t="shared" si="6"/>
        <v>2.2570000000000001</v>
      </c>
      <c r="AX52" s="165">
        <f>'Ribassi PE'!$M$27</f>
        <v>0.6</v>
      </c>
      <c r="AY52" s="166">
        <f t="shared" si="7"/>
        <v>0.97099999999999997</v>
      </c>
      <c r="AZ52" s="576"/>
      <c r="BA52" s="576"/>
      <c r="BB52" s="576"/>
      <c r="BC52" s="576"/>
      <c r="BD52" s="576"/>
      <c r="BE52" s="576"/>
      <c r="BF52" s="576"/>
      <c r="BG52" s="576"/>
      <c r="BH52" s="576"/>
      <c r="BI52" s="576"/>
      <c r="BJ52" s="576"/>
      <c r="BK52" s="576"/>
      <c r="BL52" s="576"/>
      <c r="BM52" s="576"/>
      <c r="BN52" s="576"/>
      <c r="BO52" s="576"/>
      <c r="BP52" s="576"/>
      <c r="BQ52" s="576"/>
      <c r="BR52" s="576"/>
      <c r="BS52" s="576"/>
      <c r="BT52" s="576"/>
      <c r="BU52" s="576"/>
      <c r="BV52" s="576"/>
      <c r="BW52" s="576"/>
      <c r="BX52" s="577"/>
    </row>
    <row r="53" spans="1:76" ht="23.25" thickBot="1" x14ac:dyDescent="0.25">
      <c r="A53" s="575"/>
      <c r="B53" s="547" t="s">
        <v>934</v>
      </c>
      <c r="C53" s="989"/>
      <c r="D53" s="300" t="s">
        <v>967</v>
      </c>
      <c r="E53" s="301" t="s">
        <v>1162</v>
      </c>
      <c r="F53" s="867"/>
      <c r="G53" s="868"/>
      <c r="H53" s="475"/>
      <c r="I53" s="476"/>
      <c r="J53" s="475"/>
      <c r="K53" s="476"/>
      <c r="L53" s="475"/>
      <c r="M53" s="476"/>
      <c r="N53" s="475"/>
      <c r="O53" s="476"/>
      <c r="P53" s="475"/>
      <c r="Q53" s="476"/>
      <c r="R53" s="475"/>
      <c r="S53" s="476"/>
      <c r="T53" s="475"/>
      <c r="U53" s="476"/>
      <c r="V53" s="475"/>
      <c r="W53" s="476"/>
      <c r="X53" s="475"/>
      <c r="Y53" s="476"/>
      <c r="Z53" s="475"/>
      <c r="AA53" s="476"/>
      <c r="AB53" s="475"/>
      <c r="AC53" s="476"/>
      <c r="AD53" s="475"/>
      <c r="AE53" s="476"/>
      <c r="AF53" s="475"/>
      <c r="AG53" s="476"/>
      <c r="AH53" s="475"/>
      <c r="AI53" s="476"/>
      <c r="AJ53" s="475"/>
      <c r="AK53" s="476"/>
      <c r="AL53" s="475"/>
      <c r="AM53" s="476"/>
      <c r="AN53" s="475"/>
      <c r="AO53" s="476"/>
      <c r="AP53" s="475"/>
      <c r="AQ53" s="476"/>
      <c r="AR53" s="475"/>
      <c r="AS53" s="476"/>
      <c r="AT53" s="137">
        <v>0.109</v>
      </c>
      <c r="AU53" s="615" t="s">
        <v>20</v>
      </c>
      <c r="AV53" s="138">
        <f>'Ribassi PE'!$K$27</f>
        <v>7.0000000000000007E-2</v>
      </c>
      <c r="AW53" s="139">
        <f t="shared" si="6"/>
        <v>0.10100000000000001</v>
      </c>
      <c r="AX53" s="138">
        <f>'Ribassi PE'!$M$27</f>
        <v>0.6</v>
      </c>
      <c r="AY53" s="139">
        <f t="shared" si="7"/>
        <v>4.3999999999999997E-2</v>
      </c>
      <c r="AZ53" s="576"/>
      <c r="BA53" s="576"/>
      <c r="BB53" s="576"/>
      <c r="BC53" s="576"/>
      <c r="BD53" s="576"/>
      <c r="BE53" s="576"/>
      <c r="BF53" s="576"/>
      <c r="BG53" s="576"/>
      <c r="BH53" s="576"/>
      <c r="BI53" s="576"/>
      <c r="BJ53" s="576"/>
      <c r="BK53" s="576"/>
      <c r="BL53" s="576"/>
      <c r="BM53" s="576"/>
      <c r="BN53" s="576"/>
      <c r="BO53" s="576"/>
      <c r="BP53" s="576"/>
      <c r="BQ53" s="576"/>
      <c r="BR53" s="576"/>
      <c r="BS53" s="576"/>
      <c r="BT53" s="576"/>
      <c r="BU53" s="576"/>
      <c r="BV53" s="576"/>
      <c r="BW53" s="576"/>
      <c r="BX53" s="577"/>
    </row>
    <row r="54" spans="1:76" ht="34.5" thickBot="1" x14ac:dyDescent="0.25">
      <c r="A54" s="575"/>
      <c r="B54" s="311" t="s">
        <v>935</v>
      </c>
      <c r="C54" s="312" t="s">
        <v>886</v>
      </c>
      <c r="D54" s="315" t="s">
        <v>968</v>
      </c>
      <c r="E54" s="314" t="s">
        <v>1162</v>
      </c>
      <c r="F54" s="873"/>
      <c r="G54" s="874"/>
      <c r="H54" s="481"/>
      <c r="I54" s="482"/>
      <c r="J54" s="481"/>
      <c r="K54" s="482"/>
      <c r="L54" s="481"/>
      <c r="M54" s="482"/>
      <c r="N54" s="481"/>
      <c r="O54" s="482"/>
      <c r="P54" s="481"/>
      <c r="Q54" s="482"/>
      <c r="R54" s="481"/>
      <c r="S54" s="482"/>
      <c r="T54" s="481"/>
      <c r="U54" s="482"/>
      <c r="V54" s="481"/>
      <c r="W54" s="482"/>
      <c r="X54" s="481"/>
      <c r="Y54" s="482"/>
      <c r="Z54" s="481"/>
      <c r="AA54" s="482"/>
      <c r="AB54" s="481"/>
      <c r="AC54" s="482"/>
      <c r="AD54" s="481"/>
      <c r="AE54" s="482"/>
      <c r="AF54" s="481"/>
      <c r="AG54" s="482"/>
      <c r="AH54" s="481"/>
      <c r="AI54" s="482"/>
      <c r="AJ54" s="481"/>
      <c r="AK54" s="482"/>
      <c r="AL54" s="481"/>
      <c r="AM54" s="482"/>
      <c r="AN54" s="481"/>
      <c r="AO54" s="482"/>
      <c r="AP54" s="481"/>
      <c r="AQ54" s="482"/>
      <c r="AR54" s="481"/>
      <c r="AS54" s="482"/>
      <c r="AT54" s="293">
        <v>0.46500000000000002</v>
      </c>
      <c r="AU54" s="614" t="s">
        <v>20</v>
      </c>
      <c r="AV54" s="266">
        <f>'Ribassi PE'!$K$27</f>
        <v>7.0000000000000007E-2</v>
      </c>
      <c r="AW54" s="294">
        <f t="shared" si="6"/>
        <v>0.432</v>
      </c>
      <c r="AX54" s="266">
        <f>'Ribassi PE'!$M$27</f>
        <v>0.6</v>
      </c>
      <c r="AY54" s="294">
        <f t="shared" si="7"/>
        <v>0.186</v>
      </c>
      <c r="AZ54" s="576"/>
      <c r="BA54" s="576"/>
      <c r="BB54" s="576"/>
      <c r="BC54" s="576"/>
      <c r="BD54" s="576"/>
      <c r="BE54" s="576"/>
      <c r="BF54" s="576"/>
      <c r="BG54" s="576"/>
      <c r="BH54" s="576"/>
      <c r="BI54" s="576"/>
      <c r="BJ54" s="576"/>
      <c r="BK54" s="576"/>
      <c r="BL54" s="576"/>
      <c r="BM54" s="576"/>
      <c r="BN54" s="576"/>
      <c r="BO54" s="576"/>
      <c r="BP54" s="576"/>
      <c r="BQ54" s="576"/>
      <c r="BR54" s="576"/>
      <c r="BS54" s="576"/>
      <c r="BT54" s="576"/>
      <c r="BU54" s="576"/>
      <c r="BV54" s="576"/>
      <c r="BW54" s="576"/>
      <c r="BX54" s="577"/>
    </row>
    <row r="55" spans="1:76" ht="34.5" thickBot="1" x14ac:dyDescent="0.25">
      <c r="A55" s="575"/>
      <c r="B55" s="1012" t="s">
        <v>936</v>
      </c>
      <c r="C55" s="986" t="s">
        <v>887</v>
      </c>
      <c r="D55" s="302" t="s">
        <v>1293</v>
      </c>
      <c r="E55" s="303" t="s">
        <v>773</v>
      </c>
      <c r="F55" s="869"/>
      <c r="G55" s="870"/>
      <c r="H55" s="477"/>
      <c r="I55" s="478"/>
      <c r="J55" s="477"/>
      <c r="K55" s="478"/>
      <c r="L55" s="477"/>
      <c r="M55" s="478"/>
      <c r="N55" s="477"/>
      <c r="O55" s="478"/>
      <c r="P55" s="477"/>
      <c r="Q55" s="478"/>
      <c r="R55" s="477"/>
      <c r="S55" s="478"/>
      <c r="T55" s="477"/>
      <c r="U55" s="478"/>
      <c r="V55" s="477"/>
      <c r="W55" s="478"/>
      <c r="X55" s="477"/>
      <c r="Y55" s="478"/>
      <c r="Z55" s="477"/>
      <c r="AA55" s="478"/>
      <c r="AB55" s="477"/>
      <c r="AC55" s="478"/>
      <c r="AD55" s="477"/>
      <c r="AE55" s="478"/>
      <c r="AF55" s="477"/>
      <c r="AG55" s="478"/>
      <c r="AH55" s="477"/>
      <c r="AI55" s="478"/>
      <c r="AJ55" s="477"/>
      <c r="AK55" s="478"/>
      <c r="AL55" s="477"/>
      <c r="AM55" s="478"/>
      <c r="AN55" s="477"/>
      <c r="AO55" s="478"/>
      <c r="AP55" s="477"/>
      <c r="AQ55" s="478"/>
      <c r="AR55" s="477"/>
      <c r="AS55" s="478"/>
      <c r="AT55" s="289">
        <v>20</v>
      </c>
      <c r="AU55" s="1015" t="s">
        <v>19</v>
      </c>
      <c r="AV55" s="249">
        <f>'Ribassi PE'!$K$26</f>
        <v>0.8</v>
      </c>
      <c r="AW55" s="250">
        <f t="shared" si="6"/>
        <v>4</v>
      </c>
      <c r="AX55" s="249">
        <f>'Ribassi PE'!$M$26</f>
        <v>0.2</v>
      </c>
      <c r="AY55" s="250">
        <f t="shared" si="7"/>
        <v>16</v>
      </c>
      <c r="AZ55" s="576"/>
      <c r="BA55" s="576"/>
      <c r="BB55" s="576"/>
      <c r="BC55" s="576"/>
      <c r="BD55" s="576"/>
      <c r="BE55" s="576"/>
      <c r="BF55" s="576"/>
      <c r="BG55" s="576"/>
      <c r="BH55" s="576"/>
      <c r="BI55" s="576"/>
      <c r="BJ55" s="576"/>
      <c r="BK55" s="576"/>
      <c r="BL55" s="576"/>
      <c r="BM55" s="576"/>
      <c r="BN55" s="576"/>
      <c r="BO55" s="576"/>
      <c r="BP55" s="576"/>
      <c r="BQ55" s="576"/>
      <c r="BR55" s="576"/>
      <c r="BS55" s="576"/>
      <c r="BT55" s="576"/>
      <c r="BU55" s="576"/>
      <c r="BV55" s="576"/>
      <c r="BW55" s="576"/>
      <c r="BX55" s="577"/>
    </row>
    <row r="56" spans="1:76" ht="34.5" thickBot="1" x14ac:dyDescent="0.25">
      <c r="A56" s="575"/>
      <c r="B56" s="971"/>
      <c r="C56" s="987"/>
      <c r="D56" s="766" t="s">
        <v>1294</v>
      </c>
      <c r="E56" s="763" t="s">
        <v>773</v>
      </c>
      <c r="F56" s="863"/>
      <c r="G56" s="864"/>
      <c r="H56" s="471"/>
      <c r="I56" s="472"/>
      <c r="J56" s="471"/>
      <c r="K56" s="472"/>
      <c r="L56" s="471"/>
      <c r="M56" s="472"/>
      <c r="N56" s="471"/>
      <c r="O56" s="472"/>
      <c r="P56" s="471"/>
      <c r="Q56" s="472"/>
      <c r="R56" s="471"/>
      <c r="S56" s="472"/>
      <c r="T56" s="471"/>
      <c r="U56" s="472"/>
      <c r="V56" s="471"/>
      <c r="W56" s="472"/>
      <c r="X56" s="471"/>
      <c r="Y56" s="472"/>
      <c r="Z56" s="471"/>
      <c r="AA56" s="472"/>
      <c r="AB56" s="471"/>
      <c r="AC56" s="472"/>
      <c r="AD56" s="471"/>
      <c r="AE56" s="472"/>
      <c r="AF56" s="471"/>
      <c r="AG56" s="472"/>
      <c r="AH56" s="471"/>
      <c r="AI56" s="472"/>
      <c r="AJ56" s="471"/>
      <c r="AK56" s="472"/>
      <c r="AL56" s="471"/>
      <c r="AM56" s="472"/>
      <c r="AN56" s="471"/>
      <c r="AO56" s="472"/>
      <c r="AP56" s="471"/>
      <c r="AQ56" s="472"/>
      <c r="AR56" s="471"/>
      <c r="AS56" s="472"/>
      <c r="AT56" s="164">
        <f>AT55*1.3</f>
        <v>26</v>
      </c>
      <c r="AU56" s="1016"/>
      <c r="AV56" s="165">
        <f>'Ribassi PE'!$K$26</f>
        <v>0.8</v>
      </c>
      <c r="AW56" s="166">
        <f t="shared" ref="AW56:AW58" si="10">ROUND(AT56*(1-AV56),3)</f>
        <v>5.2</v>
      </c>
      <c r="AX56" s="165">
        <f>'Ribassi PE'!$M$26</f>
        <v>0.2</v>
      </c>
      <c r="AY56" s="166">
        <f t="shared" ref="AY56:AY58" si="11">ROUND(AT56*(1-AX56),3)</f>
        <v>20.8</v>
      </c>
      <c r="AZ56" s="576"/>
      <c r="BA56" s="576"/>
      <c r="BB56" s="576"/>
      <c r="BC56" s="576"/>
      <c r="BD56" s="576"/>
      <c r="BE56" s="576"/>
      <c r="BF56" s="576"/>
      <c r="BG56" s="576"/>
      <c r="BH56" s="576"/>
      <c r="BI56" s="576"/>
      <c r="BJ56" s="576"/>
      <c r="BK56" s="576"/>
      <c r="BL56" s="576"/>
      <c r="BM56" s="576"/>
      <c r="BN56" s="576"/>
      <c r="BO56" s="576"/>
      <c r="BP56" s="576"/>
      <c r="BQ56" s="576"/>
      <c r="BR56" s="576"/>
      <c r="BS56" s="576"/>
      <c r="BT56" s="576"/>
      <c r="BU56" s="576"/>
      <c r="BV56" s="576"/>
      <c r="BW56" s="576"/>
      <c r="BX56" s="577"/>
    </row>
    <row r="57" spans="1:76" ht="34.5" thickBot="1" x14ac:dyDescent="0.25">
      <c r="A57" s="575"/>
      <c r="B57" s="971"/>
      <c r="C57" s="987"/>
      <c r="D57" s="766" t="s">
        <v>1295</v>
      </c>
      <c r="E57" s="763" t="s">
        <v>773</v>
      </c>
      <c r="F57" s="863"/>
      <c r="G57" s="864"/>
      <c r="H57" s="471"/>
      <c r="I57" s="472"/>
      <c r="J57" s="471"/>
      <c r="K57" s="472"/>
      <c r="L57" s="471"/>
      <c r="M57" s="472"/>
      <c r="N57" s="471"/>
      <c r="O57" s="472"/>
      <c r="P57" s="471"/>
      <c r="Q57" s="472"/>
      <c r="R57" s="471"/>
      <c r="S57" s="472"/>
      <c r="T57" s="471"/>
      <c r="U57" s="472"/>
      <c r="V57" s="471"/>
      <c r="W57" s="472"/>
      <c r="X57" s="471"/>
      <c r="Y57" s="472"/>
      <c r="Z57" s="471"/>
      <c r="AA57" s="472"/>
      <c r="AB57" s="471"/>
      <c r="AC57" s="472"/>
      <c r="AD57" s="471"/>
      <c r="AE57" s="472"/>
      <c r="AF57" s="471"/>
      <c r="AG57" s="472"/>
      <c r="AH57" s="471"/>
      <c r="AI57" s="472"/>
      <c r="AJ57" s="471"/>
      <c r="AK57" s="472"/>
      <c r="AL57" s="471"/>
      <c r="AM57" s="472"/>
      <c r="AN57" s="471"/>
      <c r="AO57" s="472"/>
      <c r="AP57" s="471"/>
      <c r="AQ57" s="472"/>
      <c r="AR57" s="471"/>
      <c r="AS57" s="472"/>
      <c r="AT57" s="164">
        <f>AT55*1.65</f>
        <v>33</v>
      </c>
      <c r="AU57" s="1016"/>
      <c r="AV57" s="165">
        <f>'Ribassi PE'!$K$26</f>
        <v>0.8</v>
      </c>
      <c r="AW57" s="166">
        <f t="shared" si="10"/>
        <v>6.6</v>
      </c>
      <c r="AX57" s="165">
        <f>'Ribassi PE'!$M$26</f>
        <v>0.2</v>
      </c>
      <c r="AY57" s="166">
        <f t="shared" si="11"/>
        <v>26.4</v>
      </c>
      <c r="AZ57" s="576"/>
      <c r="BA57" s="576"/>
      <c r="BB57" s="576"/>
      <c r="BC57" s="576"/>
      <c r="BD57" s="576"/>
      <c r="BE57" s="576"/>
      <c r="BF57" s="576"/>
      <c r="BG57" s="576"/>
      <c r="BH57" s="576"/>
      <c r="BI57" s="576"/>
      <c r="BJ57" s="576"/>
      <c r="BK57" s="576"/>
      <c r="BL57" s="576"/>
      <c r="BM57" s="576"/>
      <c r="BN57" s="576"/>
      <c r="BO57" s="576"/>
      <c r="BP57" s="576"/>
      <c r="BQ57" s="576"/>
      <c r="BR57" s="576"/>
      <c r="BS57" s="576"/>
      <c r="BT57" s="576"/>
      <c r="BU57" s="576"/>
      <c r="BV57" s="576"/>
      <c r="BW57" s="576"/>
      <c r="BX57" s="577"/>
    </row>
    <row r="58" spans="1:76" ht="34.5" thickBot="1" x14ac:dyDescent="0.25">
      <c r="A58" s="575"/>
      <c r="B58" s="971"/>
      <c r="C58" s="987"/>
      <c r="D58" s="766" t="s">
        <v>1296</v>
      </c>
      <c r="E58" s="763" t="s">
        <v>773</v>
      </c>
      <c r="F58" s="863"/>
      <c r="G58" s="864"/>
      <c r="H58" s="471"/>
      <c r="I58" s="472"/>
      <c r="J58" s="471"/>
      <c r="K58" s="472"/>
      <c r="L58" s="471"/>
      <c r="M58" s="472"/>
      <c r="N58" s="471"/>
      <c r="O58" s="472"/>
      <c r="P58" s="471"/>
      <c r="Q58" s="472"/>
      <c r="R58" s="471"/>
      <c r="S58" s="472"/>
      <c r="T58" s="471"/>
      <c r="U58" s="472"/>
      <c r="V58" s="471"/>
      <c r="W58" s="472"/>
      <c r="X58" s="471"/>
      <c r="Y58" s="472"/>
      <c r="Z58" s="471"/>
      <c r="AA58" s="472"/>
      <c r="AB58" s="471"/>
      <c r="AC58" s="472"/>
      <c r="AD58" s="471"/>
      <c r="AE58" s="472"/>
      <c r="AF58" s="471"/>
      <c r="AG58" s="472"/>
      <c r="AH58" s="471"/>
      <c r="AI58" s="472"/>
      <c r="AJ58" s="471"/>
      <c r="AK58" s="472"/>
      <c r="AL58" s="471"/>
      <c r="AM58" s="472"/>
      <c r="AN58" s="471"/>
      <c r="AO58" s="472"/>
      <c r="AP58" s="471"/>
      <c r="AQ58" s="472"/>
      <c r="AR58" s="471"/>
      <c r="AS58" s="472"/>
      <c r="AT58" s="164">
        <f>AT55*1.75</f>
        <v>35</v>
      </c>
      <c r="AU58" s="1016"/>
      <c r="AV58" s="165">
        <f>'Ribassi PE'!$K$26</f>
        <v>0.8</v>
      </c>
      <c r="AW58" s="166">
        <f t="shared" si="10"/>
        <v>7</v>
      </c>
      <c r="AX58" s="165">
        <f>'Ribassi PE'!$M$26</f>
        <v>0.2</v>
      </c>
      <c r="AY58" s="166">
        <f t="shared" si="11"/>
        <v>28</v>
      </c>
      <c r="AZ58" s="576"/>
      <c r="BA58" s="576"/>
      <c r="BB58" s="576"/>
      <c r="BC58" s="576"/>
      <c r="BD58" s="576"/>
      <c r="BE58" s="576"/>
      <c r="BF58" s="576"/>
      <c r="BG58" s="576"/>
      <c r="BH58" s="576"/>
      <c r="BI58" s="576"/>
      <c r="BJ58" s="576"/>
      <c r="BK58" s="576"/>
      <c r="BL58" s="576"/>
      <c r="BM58" s="576"/>
      <c r="BN58" s="576"/>
      <c r="BO58" s="576"/>
      <c r="BP58" s="576"/>
      <c r="BQ58" s="576"/>
      <c r="BR58" s="576"/>
      <c r="BS58" s="576"/>
      <c r="BT58" s="576"/>
      <c r="BU58" s="576"/>
      <c r="BV58" s="576"/>
      <c r="BW58" s="576"/>
      <c r="BX58" s="577"/>
    </row>
    <row r="59" spans="1:76" ht="34.5" thickBot="1" x14ac:dyDescent="0.25">
      <c r="A59" s="575"/>
      <c r="B59" s="1013"/>
      <c r="C59" s="988"/>
      <c r="D59" s="307" t="s">
        <v>1297</v>
      </c>
      <c r="E59" s="299" t="s">
        <v>773</v>
      </c>
      <c r="F59" s="863"/>
      <c r="G59" s="864"/>
      <c r="H59" s="471"/>
      <c r="I59" s="472"/>
      <c r="J59" s="471"/>
      <c r="K59" s="472"/>
      <c r="L59" s="471"/>
      <c r="M59" s="472"/>
      <c r="N59" s="471"/>
      <c r="O59" s="472"/>
      <c r="P59" s="471"/>
      <c r="Q59" s="472"/>
      <c r="R59" s="471"/>
      <c r="S59" s="472"/>
      <c r="T59" s="471"/>
      <c r="U59" s="472"/>
      <c r="V59" s="471"/>
      <c r="W59" s="472"/>
      <c r="X59" s="471"/>
      <c r="Y59" s="472"/>
      <c r="Z59" s="471"/>
      <c r="AA59" s="472"/>
      <c r="AB59" s="471"/>
      <c r="AC59" s="472"/>
      <c r="AD59" s="471"/>
      <c r="AE59" s="472"/>
      <c r="AF59" s="471"/>
      <c r="AG59" s="472"/>
      <c r="AH59" s="471"/>
      <c r="AI59" s="472"/>
      <c r="AJ59" s="471"/>
      <c r="AK59" s="472"/>
      <c r="AL59" s="471"/>
      <c r="AM59" s="472"/>
      <c r="AN59" s="471"/>
      <c r="AO59" s="472"/>
      <c r="AP59" s="471"/>
      <c r="AQ59" s="472"/>
      <c r="AR59" s="471"/>
      <c r="AS59" s="472"/>
      <c r="AT59" s="164">
        <v>21</v>
      </c>
      <c r="AU59" s="1016"/>
      <c r="AV59" s="165">
        <f>'Ribassi PE'!$K$26</f>
        <v>0.8</v>
      </c>
      <c r="AW59" s="166">
        <f t="shared" ref="AW59" si="12">ROUND(AT59*(1-AV59),3)</f>
        <v>4.2</v>
      </c>
      <c r="AX59" s="165">
        <f>'Ribassi PE'!$M$26</f>
        <v>0.2</v>
      </c>
      <c r="AY59" s="166">
        <f t="shared" ref="AY59" si="13">ROUND(AT59*(1-AX59),3)</f>
        <v>16.8</v>
      </c>
      <c r="AZ59" s="576"/>
      <c r="BA59" s="576"/>
      <c r="BB59" s="576"/>
      <c r="BC59" s="576"/>
      <c r="BD59" s="576"/>
      <c r="BE59" s="576"/>
      <c r="BF59" s="576"/>
      <c r="BG59" s="576"/>
      <c r="BH59" s="576"/>
      <c r="BI59" s="576"/>
      <c r="BJ59" s="576"/>
      <c r="BK59" s="576"/>
      <c r="BL59" s="576"/>
      <c r="BM59" s="576"/>
      <c r="BN59" s="576"/>
      <c r="BO59" s="576"/>
      <c r="BP59" s="576"/>
      <c r="BQ59" s="576"/>
      <c r="BR59" s="576"/>
      <c r="BS59" s="576"/>
      <c r="BT59" s="576"/>
      <c r="BU59" s="576"/>
      <c r="BV59" s="576"/>
      <c r="BW59" s="576"/>
      <c r="BX59" s="577"/>
    </row>
    <row r="60" spans="1:76" ht="34.5" thickBot="1" x14ac:dyDescent="0.25">
      <c r="A60" s="575"/>
      <c r="B60" s="967"/>
      <c r="C60" s="992"/>
      <c r="D60" s="767" t="s">
        <v>1298</v>
      </c>
      <c r="E60" s="765" t="s">
        <v>773</v>
      </c>
      <c r="F60" s="863"/>
      <c r="G60" s="864"/>
      <c r="H60" s="471"/>
      <c r="I60" s="472"/>
      <c r="J60" s="471"/>
      <c r="K60" s="472"/>
      <c r="L60" s="471"/>
      <c r="M60" s="472"/>
      <c r="N60" s="471"/>
      <c r="O60" s="472"/>
      <c r="P60" s="471"/>
      <c r="Q60" s="472"/>
      <c r="R60" s="471"/>
      <c r="S60" s="472"/>
      <c r="T60" s="471"/>
      <c r="U60" s="472"/>
      <c r="V60" s="471"/>
      <c r="W60" s="472"/>
      <c r="X60" s="471"/>
      <c r="Y60" s="472"/>
      <c r="Z60" s="471"/>
      <c r="AA60" s="472"/>
      <c r="AB60" s="471"/>
      <c r="AC60" s="472"/>
      <c r="AD60" s="471"/>
      <c r="AE60" s="472"/>
      <c r="AF60" s="471"/>
      <c r="AG60" s="472"/>
      <c r="AH60" s="471"/>
      <c r="AI60" s="472"/>
      <c r="AJ60" s="471"/>
      <c r="AK60" s="472"/>
      <c r="AL60" s="471"/>
      <c r="AM60" s="472"/>
      <c r="AN60" s="471"/>
      <c r="AO60" s="472"/>
      <c r="AP60" s="471"/>
      <c r="AQ60" s="472"/>
      <c r="AR60" s="471"/>
      <c r="AS60" s="472"/>
      <c r="AT60" s="164">
        <f>AT59*1.3</f>
        <v>27.3</v>
      </c>
      <c r="AU60" s="1016"/>
      <c r="AV60" s="165">
        <f>'Ribassi PE'!$K$26</f>
        <v>0.8</v>
      </c>
      <c r="AW60" s="166">
        <f t="shared" ref="AW60:AW65" si="14">ROUND(AT60*(1-AV60),3)</f>
        <v>5.46</v>
      </c>
      <c r="AX60" s="165">
        <f>'Ribassi PE'!$M$26</f>
        <v>0.2</v>
      </c>
      <c r="AY60" s="166">
        <f t="shared" ref="AY60:AY65" si="15">ROUND(AT60*(1-AX60),3)</f>
        <v>21.84</v>
      </c>
      <c r="AZ60" s="576"/>
      <c r="BA60" s="576"/>
      <c r="BB60" s="576"/>
      <c r="BC60" s="576"/>
      <c r="BD60" s="576"/>
      <c r="BE60" s="576"/>
      <c r="BF60" s="576"/>
      <c r="BG60" s="576"/>
      <c r="BH60" s="576"/>
      <c r="BI60" s="576"/>
      <c r="BJ60" s="576"/>
      <c r="BK60" s="576"/>
      <c r="BL60" s="576"/>
      <c r="BM60" s="576"/>
      <c r="BN60" s="576"/>
      <c r="BO60" s="576"/>
      <c r="BP60" s="576"/>
      <c r="BQ60" s="576"/>
      <c r="BR60" s="576"/>
      <c r="BS60" s="576"/>
      <c r="BT60" s="576"/>
      <c r="BU60" s="576"/>
      <c r="BV60" s="576"/>
      <c r="BW60" s="576"/>
      <c r="BX60" s="577"/>
    </row>
    <row r="61" spans="1:76" ht="34.5" thickBot="1" x14ac:dyDescent="0.25">
      <c r="A61" s="575"/>
      <c r="B61" s="967"/>
      <c r="C61" s="992"/>
      <c r="D61" s="767" t="s">
        <v>1299</v>
      </c>
      <c r="E61" s="765" t="s">
        <v>773</v>
      </c>
      <c r="F61" s="863"/>
      <c r="G61" s="864"/>
      <c r="H61" s="471"/>
      <c r="I61" s="472"/>
      <c r="J61" s="471"/>
      <c r="K61" s="472"/>
      <c r="L61" s="471"/>
      <c r="M61" s="472"/>
      <c r="N61" s="471"/>
      <c r="O61" s="472"/>
      <c r="P61" s="471"/>
      <c r="Q61" s="472"/>
      <c r="R61" s="471"/>
      <c r="S61" s="472"/>
      <c r="T61" s="471"/>
      <c r="U61" s="472"/>
      <c r="V61" s="471"/>
      <c r="W61" s="472"/>
      <c r="X61" s="471"/>
      <c r="Y61" s="472"/>
      <c r="Z61" s="471"/>
      <c r="AA61" s="472"/>
      <c r="AB61" s="471"/>
      <c r="AC61" s="472"/>
      <c r="AD61" s="471"/>
      <c r="AE61" s="472"/>
      <c r="AF61" s="471"/>
      <c r="AG61" s="472"/>
      <c r="AH61" s="471"/>
      <c r="AI61" s="472"/>
      <c r="AJ61" s="471"/>
      <c r="AK61" s="472"/>
      <c r="AL61" s="471"/>
      <c r="AM61" s="472"/>
      <c r="AN61" s="471"/>
      <c r="AO61" s="472"/>
      <c r="AP61" s="471"/>
      <c r="AQ61" s="472"/>
      <c r="AR61" s="471"/>
      <c r="AS61" s="472"/>
      <c r="AT61" s="164">
        <f>AT59*1.65</f>
        <v>34.65</v>
      </c>
      <c r="AU61" s="1016"/>
      <c r="AV61" s="165">
        <f>'Ribassi PE'!$K$26</f>
        <v>0.8</v>
      </c>
      <c r="AW61" s="166">
        <f t="shared" si="14"/>
        <v>6.93</v>
      </c>
      <c r="AX61" s="165">
        <f>'Ribassi PE'!$M$26</f>
        <v>0.2</v>
      </c>
      <c r="AY61" s="166">
        <f t="shared" si="15"/>
        <v>27.72</v>
      </c>
      <c r="AZ61" s="576"/>
      <c r="BA61" s="576"/>
      <c r="BB61" s="576"/>
      <c r="BC61" s="576"/>
      <c r="BD61" s="576"/>
      <c r="BE61" s="576"/>
      <c r="BF61" s="576"/>
      <c r="BG61" s="576"/>
      <c r="BH61" s="576"/>
      <c r="BI61" s="576"/>
      <c r="BJ61" s="576"/>
      <c r="BK61" s="576"/>
      <c r="BL61" s="576"/>
      <c r="BM61" s="576"/>
      <c r="BN61" s="576"/>
      <c r="BO61" s="576"/>
      <c r="BP61" s="576"/>
      <c r="BQ61" s="576"/>
      <c r="BR61" s="576"/>
      <c r="BS61" s="576"/>
      <c r="BT61" s="576"/>
      <c r="BU61" s="576"/>
      <c r="BV61" s="576"/>
      <c r="BW61" s="576"/>
      <c r="BX61" s="577"/>
    </row>
    <row r="62" spans="1:76" ht="34.5" thickBot="1" x14ac:dyDescent="0.25">
      <c r="A62" s="575"/>
      <c r="B62" s="967"/>
      <c r="C62" s="992"/>
      <c r="D62" s="767" t="s">
        <v>1300</v>
      </c>
      <c r="E62" s="765" t="s">
        <v>773</v>
      </c>
      <c r="F62" s="863"/>
      <c r="G62" s="864"/>
      <c r="H62" s="471"/>
      <c r="I62" s="472"/>
      <c r="J62" s="471"/>
      <c r="K62" s="472"/>
      <c r="L62" s="471"/>
      <c r="M62" s="472"/>
      <c r="N62" s="471"/>
      <c r="O62" s="472"/>
      <c r="P62" s="471"/>
      <c r="Q62" s="472"/>
      <c r="R62" s="471"/>
      <c r="S62" s="472"/>
      <c r="T62" s="471"/>
      <c r="U62" s="472"/>
      <c r="V62" s="471"/>
      <c r="W62" s="472"/>
      <c r="X62" s="471"/>
      <c r="Y62" s="472"/>
      <c r="Z62" s="471"/>
      <c r="AA62" s="472"/>
      <c r="AB62" s="471"/>
      <c r="AC62" s="472"/>
      <c r="AD62" s="471"/>
      <c r="AE62" s="472"/>
      <c r="AF62" s="471"/>
      <c r="AG62" s="472"/>
      <c r="AH62" s="471"/>
      <c r="AI62" s="472"/>
      <c r="AJ62" s="471"/>
      <c r="AK62" s="472"/>
      <c r="AL62" s="471"/>
      <c r="AM62" s="472"/>
      <c r="AN62" s="471"/>
      <c r="AO62" s="472"/>
      <c r="AP62" s="471"/>
      <c r="AQ62" s="472"/>
      <c r="AR62" s="471"/>
      <c r="AS62" s="472"/>
      <c r="AT62" s="164">
        <f>AT59*1.75</f>
        <v>36.75</v>
      </c>
      <c r="AU62" s="1016"/>
      <c r="AV62" s="165">
        <f>'Ribassi PE'!$K$26</f>
        <v>0.8</v>
      </c>
      <c r="AW62" s="166">
        <f t="shared" si="14"/>
        <v>7.35</v>
      </c>
      <c r="AX62" s="165">
        <f>'Ribassi PE'!$M$26</f>
        <v>0.2</v>
      </c>
      <c r="AY62" s="166">
        <f t="shared" si="15"/>
        <v>29.4</v>
      </c>
      <c r="AZ62" s="576"/>
      <c r="BA62" s="576"/>
      <c r="BB62" s="576"/>
      <c r="BC62" s="576"/>
      <c r="BD62" s="576"/>
      <c r="BE62" s="576"/>
      <c r="BF62" s="576"/>
      <c r="BG62" s="576"/>
      <c r="BH62" s="576"/>
      <c r="BI62" s="576"/>
      <c r="BJ62" s="576"/>
      <c r="BK62" s="576"/>
      <c r="BL62" s="576"/>
      <c r="BM62" s="576"/>
      <c r="BN62" s="576"/>
      <c r="BO62" s="576"/>
      <c r="BP62" s="576"/>
      <c r="BQ62" s="576"/>
      <c r="BR62" s="576"/>
      <c r="BS62" s="576"/>
      <c r="BT62" s="576"/>
      <c r="BU62" s="576"/>
      <c r="BV62" s="576"/>
      <c r="BW62" s="576"/>
      <c r="BX62" s="577"/>
    </row>
    <row r="63" spans="1:76" ht="34.5" thickBot="1" x14ac:dyDescent="0.25">
      <c r="A63" s="575"/>
      <c r="B63" s="967"/>
      <c r="C63" s="992"/>
      <c r="D63" s="767" t="s">
        <v>1301</v>
      </c>
      <c r="E63" s="765" t="s">
        <v>773</v>
      </c>
      <c r="F63" s="863"/>
      <c r="G63" s="864"/>
      <c r="H63" s="471"/>
      <c r="I63" s="472"/>
      <c r="J63" s="471"/>
      <c r="K63" s="472"/>
      <c r="L63" s="471"/>
      <c r="M63" s="472"/>
      <c r="N63" s="471"/>
      <c r="O63" s="472"/>
      <c r="P63" s="471"/>
      <c r="Q63" s="472"/>
      <c r="R63" s="471"/>
      <c r="S63" s="472"/>
      <c r="T63" s="471"/>
      <c r="U63" s="472"/>
      <c r="V63" s="471"/>
      <c r="W63" s="472"/>
      <c r="X63" s="471"/>
      <c r="Y63" s="472"/>
      <c r="Z63" s="471"/>
      <c r="AA63" s="472"/>
      <c r="AB63" s="471"/>
      <c r="AC63" s="472"/>
      <c r="AD63" s="471"/>
      <c r="AE63" s="472"/>
      <c r="AF63" s="471"/>
      <c r="AG63" s="472"/>
      <c r="AH63" s="471"/>
      <c r="AI63" s="472"/>
      <c r="AJ63" s="471"/>
      <c r="AK63" s="472"/>
      <c r="AL63" s="471"/>
      <c r="AM63" s="472"/>
      <c r="AN63" s="471"/>
      <c r="AO63" s="472"/>
      <c r="AP63" s="471"/>
      <c r="AQ63" s="472"/>
      <c r="AR63" s="471"/>
      <c r="AS63" s="472"/>
      <c r="AT63" s="164">
        <v>23.2</v>
      </c>
      <c r="AU63" s="1016"/>
      <c r="AV63" s="165">
        <f>'Ribassi PE'!$K$26</f>
        <v>0.8</v>
      </c>
      <c r="AW63" s="166">
        <f t="shared" si="14"/>
        <v>4.6399999999999997</v>
      </c>
      <c r="AX63" s="165">
        <f>'Ribassi PE'!$M$26</f>
        <v>0.2</v>
      </c>
      <c r="AY63" s="166">
        <f t="shared" si="15"/>
        <v>18.559999999999999</v>
      </c>
      <c r="AZ63" s="576"/>
      <c r="BA63" s="576"/>
      <c r="BB63" s="576"/>
      <c r="BC63" s="576"/>
      <c r="BD63" s="576"/>
      <c r="BE63" s="576"/>
      <c r="BF63" s="576"/>
      <c r="BG63" s="576"/>
      <c r="BH63" s="576"/>
      <c r="BI63" s="576"/>
      <c r="BJ63" s="576"/>
      <c r="BK63" s="576"/>
      <c r="BL63" s="576"/>
      <c r="BM63" s="576"/>
      <c r="BN63" s="576"/>
      <c r="BO63" s="576"/>
      <c r="BP63" s="576"/>
      <c r="BQ63" s="576"/>
      <c r="BR63" s="576"/>
      <c r="BS63" s="576"/>
      <c r="BT63" s="576"/>
      <c r="BU63" s="576"/>
      <c r="BV63" s="576"/>
      <c r="BW63" s="576"/>
      <c r="BX63" s="577"/>
    </row>
    <row r="64" spans="1:76" ht="34.5" thickBot="1" x14ac:dyDescent="0.25">
      <c r="A64" s="575"/>
      <c r="B64" s="967"/>
      <c r="C64" s="992"/>
      <c r="D64" s="767" t="s">
        <v>1302</v>
      </c>
      <c r="E64" s="765" t="s">
        <v>773</v>
      </c>
      <c r="F64" s="863"/>
      <c r="G64" s="864"/>
      <c r="H64" s="471"/>
      <c r="I64" s="472"/>
      <c r="J64" s="471"/>
      <c r="K64" s="472"/>
      <c r="L64" s="471"/>
      <c r="M64" s="472"/>
      <c r="N64" s="471"/>
      <c r="O64" s="472"/>
      <c r="P64" s="471"/>
      <c r="Q64" s="472"/>
      <c r="R64" s="471"/>
      <c r="S64" s="472"/>
      <c r="T64" s="471"/>
      <c r="U64" s="472"/>
      <c r="V64" s="471"/>
      <c r="W64" s="472"/>
      <c r="X64" s="471"/>
      <c r="Y64" s="472"/>
      <c r="Z64" s="471"/>
      <c r="AA64" s="472"/>
      <c r="AB64" s="471"/>
      <c r="AC64" s="472"/>
      <c r="AD64" s="471"/>
      <c r="AE64" s="472"/>
      <c r="AF64" s="471"/>
      <c r="AG64" s="472"/>
      <c r="AH64" s="471"/>
      <c r="AI64" s="472"/>
      <c r="AJ64" s="471"/>
      <c r="AK64" s="472"/>
      <c r="AL64" s="471"/>
      <c r="AM64" s="472"/>
      <c r="AN64" s="471"/>
      <c r="AO64" s="472"/>
      <c r="AP64" s="471"/>
      <c r="AQ64" s="472"/>
      <c r="AR64" s="471"/>
      <c r="AS64" s="472"/>
      <c r="AT64" s="164">
        <f>AT63*1.3</f>
        <v>30.16</v>
      </c>
      <c r="AU64" s="1016"/>
      <c r="AV64" s="165">
        <f>'Ribassi PE'!$K$26</f>
        <v>0.8</v>
      </c>
      <c r="AW64" s="166">
        <f t="shared" si="14"/>
        <v>6.032</v>
      </c>
      <c r="AX64" s="165">
        <f>'Ribassi PE'!$M$26</f>
        <v>0.2</v>
      </c>
      <c r="AY64" s="166">
        <f t="shared" si="15"/>
        <v>24.128</v>
      </c>
      <c r="AZ64" s="576"/>
      <c r="BA64" s="576"/>
      <c r="BB64" s="576"/>
      <c r="BC64" s="576"/>
      <c r="BD64" s="576"/>
      <c r="BE64" s="576"/>
      <c r="BF64" s="576"/>
      <c r="BG64" s="576"/>
      <c r="BH64" s="576"/>
      <c r="BI64" s="576"/>
      <c r="BJ64" s="576"/>
      <c r="BK64" s="576"/>
      <c r="BL64" s="576"/>
      <c r="BM64" s="576"/>
      <c r="BN64" s="576"/>
      <c r="BO64" s="576"/>
      <c r="BP64" s="576"/>
      <c r="BQ64" s="576"/>
      <c r="BR64" s="576"/>
      <c r="BS64" s="576"/>
      <c r="BT64" s="576"/>
      <c r="BU64" s="576"/>
      <c r="BV64" s="576"/>
      <c r="BW64" s="576"/>
      <c r="BX64" s="577"/>
    </row>
    <row r="65" spans="1:76" ht="34.5" thickBot="1" x14ac:dyDescent="0.25">
      <c r="A65" s="575"/>
      <c r="B65" s="967"/>
      <c r="C65" s="992"/>
      <c r="D65" s="767" t="s">
        <v>1303</v>
      </c>
      <c r="E65" s="765" t="s">
        <v>773</v>
      </c>
      <c r="F65" s="863"/>
      <c r="G65" s="864"/>
      <c r="H65" s="471"/>
      <c r="I65" s="472"/>
      <c r="J65" s="471"/>
      <c r="K65" s="472"/>
      <c r="L65" s="471"/>
      <c r="M65" s="472"/>
      <c r="N65" s="471"/>
      <c r="O65" s="472"/>
      <c r="P65" s="471"/>
      <c r="Q65" s="472"/>
      <c r="R65" s="471"/>
      <c r="S65" s="472"/>
      <c r="T65" s="471"/>
      <c r="U65" s="472"/>
      <c r="V65" s="471"/>
      <c r="W65" s="472"/>
      <c r="X65" s="471"/>
      <c r="Y65" s="472"/>
      <c r="Z65" s="471"/>
      <c r="AA65" s="472"/>
      <c r="AB65" s="471"/>
      <c r="AC65" s="472"/>
      <c r="AD65" s="471"/>
      <c r="AE65" s="472"/>
      <c r="AF65" s="471"/>
      <c r="AG65" s="472"/>
      <c r="AH65" s="471"/>
      <c r="AI65" s="472"/>
      <c r="AJ65" s="471"/>
      <c r="AK65" s="472"/>
      <c r="AL65" s="471"/>
      <c r="AM65" s="472"/>
      <c r="AN65" s="471"/>
      <c r="AO65" s="472"/>
      <c r="AP65" s="471"/>
      <c r="AQ65" s="472"/>
      <c r="AR65" s="471"/>
      <c r="AS65" s="472"/>
      <c r="AT65" s="164">
        <f>AT63*1.65</f>
        <v>38.279999999999994</v>
      </c>
      <c r="AU65" s="1016"/>
      <c r="AV65" s="165">
        <f>'Ribassi PE'!$K$26</f>
        <v>0.8</v>
      </c>
      <c r="AW65" s="166">
        <f t="shared" si="14"/>
        <v>7.6559999999999997</v>
      </c>
      <c r="AX65" s="165">
        <f>'Ribassi PE'!$M$26</f>
        <v>0.2</v>
      </c>
      <c r="AY65" s="166">
        <f t="shared" si="15"/>
        <v>30.623999999999999</v>
      </c>
      <c r="AZ65" s="576"/>
      <c r="BA65" s="576"/>
      <c r="BB65" s="576"/>
      <c r="BC65" s="576"/>
      <c r="BD65" s="576"/>
      <c r="BE65" s="576"/>
      <c r="BF65" s="576"/>
      <c r="BG65" s="576"/>
      <c r="BH65" s="576"/>
      <c r="BI65" s="576"/>
      <c r="BJ65" s="576"/>
      <c r="BK65" s="576"/>
      <c r="BL65" s="576"/>
      <c r="BM65" s="576"/>
      <c r="BN65" s="576"/>
      <c r="BO65" s="576"/>
      <c r="BP65" s="576"/>
      <c r="BQ65" s="576"/>
      <c r="BR65" s="576"/>
      <c r="BS65" s="576"/>
      <c r="BT65" s="576"/>
      <c r="BU65" s="576"/>
      <c r="BV65" s="576"/>
      <c r="BW65" s="576"/>
      <c r="BX65" s="577"/>
    </row>
    <row r="66" spans="1:76" ht="34.5" thickBot="1" x14ac:dyDescent="0.25">
      <c r="A66" s="578"/>
      <c r="B66" s="1014"/>
      <c r="C66" s="989"/>
      <c r="D66" s="300" t="s">
        <v>1304</v>
      </c>
      <c r="E66" s="301" t="s">
        <v>773</v>
      </c>
      <c r="F66" s="877"/>
      <c r="G66" s="878"/>
      <c r="H66" s="485"/>
      <c r="I66" s="486"/>
      <c r="J66" s="485"/>
      <c r="K66" s="486"/>
      <c r="L66" s="485"/>
      <c r="M66" s="486"/>
      <c r="N66" s="485"/>
      <c r="O66" s="486"/>
      <c r="P66" s="485"/>
      <c r="Q66" s="486"/>
      <c r="R66" s="485"/>
      <c r="S66" s="486"/>
      <c r="T66" s="485"/>
      <c r="U66" s="486"/>
      <c r="V66" s="485"/>
      <c r="W66" s="486"/>
      <c r="X66" s="485"/>
      <c r="Y66" s="486"/>
      <c r="Z66" s="485"/>
      <c r="AA66" s="486"/>
      <c r="AB66" s="485"/>
      <c r="AC66" s="486"/>
      <c r="AD66" s="485"/>
      <c r="AE66" s="486"/>
      <c r="AF66" s="485"/>
      <c r="AG66" s="486"/>
      <c r="AH66" s="485"/>
      <c r="AI66" s="486"/>
      <c r="AJ66" s="485"/>
      <c r="AK66" s="486"/>
      <c r="AL66" s="485"/>
      <c r="AM66" s="486"/>
      <c r="AN66" s="485"/>
      <c r="AO66" s="486"/>
      <c r="AP66" s="485"/>
      <c r="AQ66" s="486"/>
      <c r="AR66" s="485"/>
      <c r="AS66" s="486"/>
      <c r="AT66" s="295">
        <f>AT63*1.75</f>
        <v>40.6</v>
      </c>
      <c r="AU66" s="1017"/>
      <c r="AV66" s="296">
        <f>'Ribassi PE'!$K$26</f>
        <v>0.8</v>
      </c>
      <c r="AW66" s="297">
        <f t="shared" si="0"/>
        <v>8.1199999999999992</v>
      </c>
      <c r="AX66" s="296">
        <f>'Ribassi PE'!$M$26</f>
        <v>0.2</v>
      </c>
      <c r="AY66" s="297">
        <f t="shared" si="1"/>
        <v>32.479999999999997</v>
      </c>
      <c r="AZ66" s="576"/>
      <c r="BA66" s="576"/>
      <c r="BB66" s="576"/>
      <c r="BC66" s="576"/>
      <c r="BD66" s="576"/>
      <c r="BE66" s="576"/>
      <c r="BF66" s="576"/>
      <c r="BG66" s="576"/>
      <c r="BH66" s="576"/>
      <c r="BI66" s="576"/>
      <c r="BJ66" s="576"/>
      <c r="BK66" s="576"/>
      <c r="BL66" s="576"/>
      <c r="BM66" s="576"/>
      <c r="BN66" s="576"/>
      <c r="BO66" s="576"/>
      <c r="BP66" s="576"/>
      <c r="BQ66" s="576"/>
      <c r="BR66" s="576"/>
      <c r="BS66" s="576"/>
      <c r="BT66" s="576"/>
      <c r="BU66" s="576"/>
      <c r="BV66" s="576"/>
      <c r="BW66" s="576"/>
      <c r="BX66" s="577"/>
    </row>
    <row r="67" spans="1:76" s="99" customFormat="1" ht="15" customHeight="1" thickBot="1" x14ac:dyDescent="0.25">
      <c r="A67" s="98"/>
      <c r="B67" s="98"/>
      <c r="C67" s="98"/>
      <c r="D67" s="98"/>
      <c r="E67" s="125" t="s">
        <v>329</v>
      </c>
      <c r="F67" s="1006">
        <f>SUMPRODUCT(F7:F66,G7:G66,$AT$7:$AT$66)*F4/12</f>
        <v>304871.90400000004</v>
      </c>
      <c r="G67" s="1007"/>
      <c r="H67" s="1006">
        <f>SUMPRODUCT(H7:H66,I7:I66,$AT$7:$AT$66)*H4/12</f>
        <v>0</v>
      </c>
      <c r="I67" s="1007"/>
      <c r="J67" s="1006">
        <f>SUMPRODUCT(J7:J66,K7:K66,$AT$7:$AT$66)*J4/12</f>
        <v>0</v>
      </c>
      <c r="K67" s="1007"/>
      <c r="L67" s="1006">
        <f>SUMPRODUCT(L7:L66,M7:M66,$AT$7:$AT$66)*L4/12</f>
        <v>0</v>
      </c>
      <c r="M67" s="1007"/>
      <c r="N67" s="1006">
        <f>SUMPRODUCT(N7:N66,O7:O66,$AT$7:$AT$66)*N4/12</f>
        <v>0</v>
      </c>
      <c r="O67" s="1007"/>
      <c r="P67" s="1006">
        <f>SUMPRODUCT(P7:P66,Q7:Q66,$AT$7:$AT$66)*P4/12</f>
        <v>0</v>
      </c>
      <c r="Q67" s="1007"/>
      <c r="R67" s="1006">
        <f>SUMPRODUCT(R7:R66,S7:S66,$AT$7:$AT$66)*R4/12</f>
        <v>0</v>
      </c>
      <c r="S67" s="1007"/>
      <c r="T67" s="1006">
        <f>SUMPRODUCT(T7:T66,U7:U66,$AT$7:$AT$66)*T4/12</f>
        <v>0</v>
      </c>
      <c r="U67" s="1007"/>
      <c r="V67" s="1006">
        <f>SUMPRODUCT(V7:V66,W7:W66,$AT$7:$AT$66)*V4/12</f>
        <v>0</v>
      </c>
      <c r="W67" s="1007"/>
      <c r="X67" s="1006">
        <f>SUMPRODUCT(X7:X66,Y7:Y66,$AT$7:$AT$66)*X4/12</f>
        <v>0</v>
      </c>
      <c r="Y67" s="1007"/>
      <c r="Z67" s="1006">
        <f>SUMPRODUCT(Z7:Z66,AA7:AA66,$AT$7:$AT$66)*Z4/12</f>
        <v>0</v>
      </c>
      <c r="AA67" s="1007"/>
      <c r="AB67" s="1006">
        <f>SUMPRODUCT(AB7:AB66,AC7:AC66,$AT$7:$AT$66)*AB4/12</f>
        <v>0</v>
      </c>
      <c r="AC67" s="1007"/>
      <c r="AD67" s="1006">
        <f>SUMPRODUCT(AD7:AD66,AE7:AE66,$AT$7:$AT$66)*AD4/12</f>
        <v>0</v>
      </c>
      <c r="AE67" s="1007"/>
      <c r="AF67" s="1006">
        <f>SUMPRODUCT(AF7:AF66,AG7:AG66,$AT$7:$AT$66)*AF4/12</f>
        <v>0</v>
      </c>
      <c r="AG67" s="1007"/>
      <c r="AH67" s="1006">
        <f>SUMPRODUCT(AH7:AH66,AI7:AI66,$AT$7:$AT$66)*AH4/12</f>
        <v>0</v>
      </c>
      <c r="AI67" s="1007"/>
      <c r="AJ67" s="1006">
        <f>SUMPRODUCT(AJ7:AJ66,AK7:AK66,$AT$7:$AT$66)*AJ4/12</f>
        <v>0</v>
      </c>
      <c r="AK67" s="1007"/>
      <c r="AL67" s="1006">
        <f>SUMPRODUCT(AL7:AL66,AM7:AM66,$AT$7:$AT$66)*AL4/12</f>
        <v>0</v>
      </c>
      <c r="AM67" s="1007"/>
      <c r="AN67" s="1006">
        <f>SUMPRODUCT(AN7:AN66,AO7:AO66,$AT$7:$AT$66)*AN4/12</f>
        <v>0</v>
      </c>
      <c r="AO67" s="1007"/>
      <c r="AP67" s="1006">
        <f>SUMPRODUCT(AP7:AP66,AQ7:AQ66,$AT$7:$AT$66)*AP4/12</f>
        <v>0</v>
      </c>
      <c r="AQ67" s="1007"/>
      <c r="AR67" s="1006">
        <f>SUMPRODUCT(AR7:AR66,AS7:AS66,$AT$7:$AT$66)*AR4/12</f>
        <v>0</v>
      </c>
      <c r="AS67" s="1007"/>
      <c r="AT67" s="97"/>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6"/>
    </row>
    <row r="68" spans="1:76" s="99" customFormat="1" ht="15" customHeight="1" thickBot="1" x14ac:dyDescent="0.25">
      <c r="A68" s="98"/>
      <c r="B68" s="98"/>
      <c r="C68" s="98"/>
      <c r="D68" s="98"/>
      <c r="E68" s="581" t="s">
        <v>330</v>
      </c>
      <c r="F68" s="1002">
        <f>SUMPRODUCT(F7:F66,G7:G66,$AW$7:$AW$66)*F4/12</f>
        <v>283583.80799999996</v>
      </c>
      <c r="G68" s="1003"/>
      <c r="H68" s="1002">
        <f>SUMPRODUCT(H7:H66,I7:I66,$AW$7:$AW$66)*H4/12</f>
        <v>0</v>
      </c>
      <c r="I68" s="1003"/>
      <c r="J68" s="1002">
        <f>SUMPRODUCT(J7:J66,K7:K66,$AW$7:$AW$66)*J4/12</f>
        <v>0</v>
      </c>
      <c r="K68" s="1003"/>
      <c r="L68" s="1002">
        <f>SUMPRODUCT(L7:L66,M7:M66,$AW$7:$AW$66)*L4/12</f>
        <v>0</v>
      </c>
      <c r="M68" s="1003"/>
      <c r="N68" s="1002">
        <f>SUMPRODUCT(N7:N66,O7:O66,$AW$7:$AW$66)*N4/12</f>
        <v>0</v>
      </c>
      <c r="O68" s="1003"/>
      <c r="P68" s="1002">
        <f>SUMPRODUCT(P7:P66,Q7:Q66,$AW$7:$AW$66)*P4/12</f>
        <v>0</v>
      </c>
      <c r="Q68" s="1003"/>
      <c r="R68" s="1002">
        <f>SUMPRODUCT(R7:R66,S7:S66,$AW$7:$AW$66)*R4/12</f>
        <v>0</v>
      </c>
      <c r="S68" s="1003"/>
      <c r="T68" s="1002">
        <f>SUMPRODUCT(T7:T66,U7:U66,$AW$7:$AW$66)*T4/12</f>
        <v>0</v>
      </c>
      <c r="U68" s="1003"/>
      <c r="V68" s="1002">
        <f>SUMPRODUCT(V7:V66,W7:W66,$AW$7:$AW$66)*V4/12</f>
        <v>0</v>
      </c>
      <c r="W68" s="1003"/>
      <c r="X68" s="1002">
        <f>SUMPRODUCT(X7:X66,Y7:Y66,$AW$7:$AW$66)*X4/12</f>
        <v>0</v>
      </c>
      <c r="Y68" s="1003"/>
      <c r="Z68" s="1002">
        <f>SUMPRODUCT(Z7:Z66,AA7:AA66,$AW$7:$AW$66)*Z4/12</f>
        <v>0</v>
      </c>
      <c r="AA68" s="1003"/>
      <c r="AB68" s="1002">
        <f>SUMPRODUCT(AB7:AB66,AC7:AC66,$AW$7:$AW$66)*AB4/12</f>
        <v>0</v>
      </c>
      <c r="AC68" s="1003"/>
      <c r="AD68" s="1002">
        <f>SUMPRODUCT(AD7:AD66,AE7:AE66,$AW$7:$AW$66)*AD4/12</f>
        <v>0</v>
      </c>
      <c r="AE68" s="1003"/>
      <c r="AF68" s="1002">
        <f>SUMPRODUCT(AF7:AF66,AG7:AG66,$AW$7:$AW$66)*AF4/12</f>
        <v>0</v>
      </c>
      <c r="AG68" s="1003"/>
      <c r="AH68" s="1002">
        <f>SUMPRODUCT(AH7:AH66,AI7:AI66,$AW$7:$AW$66)*AH4/12</f>
        <v>0</v>
      </c>
      <c r="AI68" s="1003"/>
      <c r="AJ68" s="1002">
        <f>SUMPRODUCT(AJ7:AJ66,AK7:AK66,$AW$7:$AW$66)*AJ4/12</f>
        <v>0</v>
      </c>
      <c r="AK68" s="1003"/>
      <c r="AL68" s="1002">
        <f>SUMPRODUCT(AL7:AL66,AM7:AM66,$AW$7:$AW$66)*AL4/12</f>
        <v>0</v>
      </c>
      <c r="AM68" s="1003"/>
      <c r="AN68" s="1002">
        <f>SUMPRODUCT(AN7:AN66,AO7:AO66,$AW$7:$AW$66)*AN4/12</f>
        <v>0</v>
      </c>
      <c r="AO68" s="1003"/>
      <c r="AP68" s="1002">
        <f>SUMPRODUCT(AP7:AP66,AQ7:AQ66,$AW$7:$AW$66)*AP4/12</f>
        <v>0</v>
      </c>
      <c r="AQ68" s="1003"/>
      <c r="AR68" s="1002">
        <f>SUMPRODUCT(AR7:AR66,AS7:AS66,$AW$7:$AW$66)*AR4/12</f>
        <v>0</v>
      </c>
      <c r="AS68" s="1003"/>
      <c r="AT68" s="97"/>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6"/>
    </row>
    <row r="69" spans="1:76" s="99" customFormat="1" ht="15" customHeight="1" thickBot="1" x14ac:dyDescent="0.25">
      <c r="A69" s="98"/>
      <c r="B69" s="98"/>
      <c r="C69" s="98"/>
      <c r="D69" s="98"/>
      <c r="E69" s="581" t="s">
        <v>331</v>
      </c>
      <c r="F69" s="1002">
        <f>SUMPRODUCT(F7:F66,G7:G66,$AY$7:$AY$66)*F4/12</f>
        <v>121889.79199999997</v>
      </c>
      <c r="G69" s="1003"/>
      <c r="H69" s="1002">
        <f>SUMPRODUCT(H7:H66,I7:I66,$AY$7:$AY$66)*H4/12</f>
        <v>0</v>
      </c>
      <c r="I69" s="1003"/>
      <c r="J69" s="1002">
        <f>SUMPRODUCT(J7:J66,K7:K66,$AY$7:$AY$66)*J4/12</f>
        <v>0</v>
      </c>
      <c r="K69" s="1003"/>
      <c r="L69" s="1002">
        <f>SUMPRODUCT(L7:L66,M7:M66,$AY$7:$AY$66)*L4/12</f>
        <v>0</v>
      </c>
      <c r="M69" s="1003"/>
      <c r="N69" s="1002">
        <f>SUMPRODUCT(N7:N66,O7:O66,$AY$7:$AY$66)*N4/12</f>
        <v>0</v>
      </c>
      <c r="O69" s="1003"/>
      <c r="P69" s="1002">
        <f>SUMPRODUCT(P7:P66,Q7:Q66,$AY$7:$AY$66)*P4/12</f>
        <v>0</v>
      </c>
      <c r="Q69" s="1003"/>
      <c r="R69" s="1002">
        <f>SUMPRODUCT(R7:R66,S7:S66,$AY$7:$AY$66)*R4/12</f>
        <v>0</v>
      </c>
      <c r="S69" s="1003"/>
      <c r="T69" s="1002">
        <f>SUMPRODUCT(T7:T66,U7:U66,$AY$7:$AY$66)*T4/12</f>
        <v>0</v>
      </c>
      <c r="U69" s="1003"/>
      <c r="V69" s="1002">
        <f>SUMPRODUCT(V7:V66,W7:W66,$AY$7:$AY$66)*V4/12</f>
        <v>0</v>
      </c>
      <c r="W69" s="1003"/>
      <c r="X69" s="1002">
        <f>SUMPRODUCT(X7:X66,Y7:Y66,$AY$7:$AY$66)*X4/12</f>
        <v>0</v>
      </c>
      <c r="Y69" s="1003"/>
      <c r="Z69" s="1002">
        <f>SUMPRODUCT(Z7:Z66,AA7:AA66,$AY$7:$AY$66)*Z4/12</f>
        <v>0</v>
      </c>
      <c r="AA69" s="1003"/>
      <c r="AB69" s="1002">
        <f>SUMPRODUCT(AB7:AB66,AC7:AC66,$AY$7:$AY$66)*AB4/12</f>
        <v>0</v>
      </c>
      <c r="AC69" s="1003"/>
      <c r="AD69" s="1002">
        <f>SUMPRODUCT(AD7:AD66,AE7:AE66,$AY$7:$AY$66)*AD4/12</f>
        <v>0</v>
      </c>
      <c r="AE69" s="1003"/>
      <c r="AF69" s="1002">
        <f>SUMPRODUCT(AF7:AF66,AG7:AG66,$AY$7:$AY$66)*AF4/12</f>
        <v>0</v>
      </c>
      <c r="AG69" s="1003"/>
      <c r="AH69" s="1002">
        <f>SUMPRODUCT(AH7:AH66,AI7:AI66,$AY$7:$AY$66)*AH4/12</f>
        <v>0</v>
      </c>
      <c r="AI69" s="1003"/>
      <c r="AJ69" s="1002">
        <f>SUMPRODUCT(AJ7:AJ66,AK7:AK66,$AY$7:$AY$66)*AJ4/12</f>
        <v>0</v>
      </c>
      <c r="AK69" s="1003"/>
      <c r="AL69" s="1002">
        <f>SUMPRODUCT(AL7:AL66,AM7:AM66,$AY$7:$AY$66)*AL4/12</f>
        <v>0</v>
      </c>
      <c r="AM69" s="1003"/>
      <c r="AN69" s="1002">
        <f>SUMPRODUCT(AN7:AN66,AO7:AO66,$AY$7:$AY$66)*AN4/12</f>
        <v>0</v>
      </c>
      <c r="AO69" s="1003"/>
      <c r="AP69" s="1002">
        <f>SUMPRODUCT(AP7:AP66,AQ7:AQ66,$AY$7:$AY$66)*AP4/12</f>
        <v>0</v>
      </c>
      <c r="AQ69" s="1003"/>
      <c r="AR69" s="1002">
        <f>SUMPRODUCT(AR7:AR66,AS7:AS66,$AY$7:$AY$66)*AR4/12</f>
        <v>0</v>
      </c>
      <c r="AS69" s="1003"/>
      <c r="AT69" s="97"/>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6"/>
    </row>
    <row r="70" spans="1:76" x14ac:dyDescent="0.2">
      <c r="A70" s="576"/>
      <c r="B70" s="98"/>
      <c r="C70" s="98"/>
      <c r="D70" s="98"/>
      <c r="E70" s="98"/>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576"/>
      <c r="AJ70" s="576"/>
      <c r="AK70" s="576"/>
      <c r="AL70" s="576"/>
      <c r="AM70" s="576"/>
      <c r="AN70" s="576"/>
      <c r="AO70" s="576"/>
      <c r="AP70" s="576"/>
      <c r="AQ70" s="576"/>
      <c r="AR70" s="576"/>
      <c r="AS70" s="576"/>
      <c r="AT70" s="98"/>
      <c r="AU70" s="98"/>
      <c r="AV70" s="98"/>
      <c r="AW70" s="98"/>
      <c r="AX70" s="98"/>
      <c r="AY70" s="98"/>
      <c r="AZ70" s="576"/>
      <c r="BA70" s="576"/>
      <c r="BB70" s="576"/>
      <c r="BC70" s="576"/>
      <c r="BD70" s="576"/>
      <c r="BE70" s="576"/>
      <c r="BF70" s="576"/>
      <c r="BG70" s="576"/>
      <c r="BH70" s="576"/>
      <c r="BI70" s="576"/>
      <c r="BJ70" s="576"/>
      <c r="BK70" s="576"/>
      <c r="BL70" s="576"/>
      <c r="BM70" s="576"/>
      <c r="BN70" s="576"/>
      <c r="BO70" s="576"/>
      <c r="BP70" s="576"/>
      <c r="BQ70" s="576"/>
      <c r="BR70" s="576"/>
      <c r="BS70" s="576"/>
      <c r="BT70" s="576"/>
      <c r="BU70" s="576"/>
      <c r="BV70" s="576"/>
      <c r="BW70" s="576"/>
      <c r="BX70" s="577"/>
    </row>
    <row r="71" spans="1:76" x14ac:dyDescent="0.2">
      <c r="A71" s="576"/>
      <c r="B71" s="98"/>
      <c r="C71" s="98"/>
      <c r="D71" s="98"/>
      <c r="E71" s="98"/>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576"/>
      <c r="AH71" s="576"/>
      <c r="AI71" s="576"/>
      <c r="AJ71" s="576"/>
      <c r="AK71" s="576"/>
      <c r="AL71" s="576"/>
      <c r="AM71" s="576"/>
      <c r="AN71" s="576"/>
      <c r="AO71" s="576"/>
      <c r="AP71" s="576"/>
      <c r="AQ71" s="576"/>
      <c r="AR71" s="576"/>
      <c r="AS71" s="576"/>
      <c r="AT71" s="98"/>
      <c r="AU71" s="98"/>
      <c r="AV71" s="98"/>
      <c r="AW71" s="98"/>
      <c r="AX71" s="98"/>
      <c r="AY71" s="98"/>
      <c r="AZ71" s="576"/>
      <c r="BA71" s="576"/>
      <c r="BB71" s="576"/>
      <c r="BC71" s="576"/>
      <c r="BD71" s="576"/>
      <c r="BE71" s="576"/>
      <c r="BF71" s="576"/>
      <c r="BG71" s="576"/>
      <c r="BH71" s="576"/>
      <c r="BI71" s="576"/>
      <c r="BJ71" s="576"/>
      <c r="BK71" s="576"/>
      <c r="BL71" s="576"/>
      <c r="BM71" s="576"/>
      <c r="BN71" s="576"/>
      <c r="BO71" s="576"/>
      <c r="BP71" s="576"/>
      <c r="BQ71" s="576"/>
      <c r="BR71" s="576"/>
      <c r="BS71" s="576"/>
      <c r="BT71" s="576"/>
      <c r="BU71" s="576"/>
      <c r="BV71" s="576"/>
      <c r="BW71" s="576"/>
      <c r="BX71" s="577"/>
    </row>
    <row r="72" spans="1:76" x14ac:dyDescent="0.2">
      <c r="A72" s="576"/>
      <c r="B72" s="98"/>
      <c r="C72" s="98"/>
      <c r="D72" s="98"/>
      <c r="E72" s="98"/>
      <c r="F72" s="576"/>
      <c r="G72" s="576"/>
      <c r="H72" s="576"/>
      <c r="I72" s="576"/>
      <c r="J72" s="576"/>
      <c r="K72" s="576"/>
      <c r="L72" s="576"/>
      <c r="M72" s="576"/>
      <c r="N72" s="576"/>
      <c r="O72" s="576"/>
      <c r="P72" s="576"/>
      <c r="Q72" s="576"/>
      <c r="R72" s="576"/>
      <c r="S72" s="576"/>
      <c r="T72" s="576"/>
      <c r="U72" s="576"/>
      <c r="V72" s="576"/>
      <c r="W72" s="576"/>
      <c r="X72" s="576"/>
      <c r="Y72" s="576"/>
      <c r="Z72" s="576"/>
      <c r="AA72" s="576"/>
      <c r="AB72" s="576"/>
      <c r="AC72" s="576"/>
      <c r="AD72" s="576"/>
      <c r="AE72" s="576"/>
      <c r="AF72" s="576"/>
      <c r="AG72" s="576"/>
      <c r="AH72" s="576"/>
      <c r="AI72" s="576"/>
      <c r="AJ72" s="576"/>
      <c r="AK72" s="576"/>
      <c r="AL72" s="576"/>
      <c r="AM72" s="576"/>
      <c r="AN72" s="576"/>
      <c r="AO72" s="576"/>
      <c r="AP72" s="576"/>
      <c r="AQ72" s="576"/>
      <c r="AR72" s="576"/>
      <c r="AS72" s="576"/>
      <c r="AT72" s="98"/>
      <c r="AU72" s="98"/>
      <c r="AV72" s="98"/>
      <c r="AW72" s="98"/>
      <c r="AX72" s="98"/>
      <c r="AY72" s="98"/>
      <c r="AZ72" s="576"/>
      <c r="BA72" s="576"/>
      <c r="BB72" s="576"/>
      <c r="BC72" s="576"/>
      <c r="BD72" s="576"/>
      <c r="BE72" s="576"/>
      <c r="BF72" s="576"/>
      <c r="BG72" s="576"/>
      <c r="BH72" s="576"/>
      <c r="BI72" s="576"/>
      <c r="BJ72" s="576"/>
      <c r="BK72" s="576"/>
      <c r="BL72" s="576"/>
      <c r="BM72" s="576"/>
      <c r="BN72" s="576"/>
      <c r="BO72" s="576"/>
      <c r="BP72" s="576"/>
      <c r="BQ72" s="576"/>
      <c r="BR72" s="576"/>
      <c r="BS72" s="576"/>
      <c r="BT72" s="576"/>
      <c r="BU72" s="576"/>
      <c r="BV72" s="576"/>
      <c r="BW72" s="576"/>
      <c r="BX72" s="577"/>
    </row>
    <row r="73" spans="1:76" x14ac:dyDescent="0.2">
      <c r="A73" s="576"/>
      <c r="B73" s="98"/>
      <c r="C73" s="98"/>
      <c r="D73" s="98"/>
      <c r="E73" s="98"/>
      <c r="F73" s="576"/>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576"/>
      <c r="AH73" s="576"/>
      <c r="AI73" s="576"/>
      <c r="AJ73" s="576"/>
      <c r="AK73" s="576"/>
      <c r="AL73" s="576"/>
      <c r="AM73" s="576"/>
      <c r="AN73" s="576"/>
      <c r="AO73" s="576"/>
      <c r="AP73" s="576"/>
      <c r="AQ73" s="576"/>
      <c r="AR73" s="576"/>
      <c r="AS73" s="576"/>
      <c r="AT73" s="98"/>
      <c r="AU73" s="98"/>
      <c r="AV73" s="98"/>
      <c r="AW73" s="98"/>
      <c r="AX73" s="98"/>
      <c r="AY73" s="98"/>
      <c r="AZ73" s="576"/>
      <c r="BA73" s="576"/>
      <c r="BB73" s="576"/>
      <c r="BC73" s="576"/>
      <c r="BD73" s="576"/>
      <c r="BE73" s="576"/>
      <c r="BF73" s="576"/>
      <c r="BG73" s="576"/>
      <c r="BH73" s="576"/>
      <c r="BI73" s="576"/>
      <c r="BJ73" s="576"/>
      <c r="BK73" s="576"/>
      <c r="BL73" s="576"/>
      <c r="BM73" s="576"/>
      <c r="BN73" s="576"/>
      <c r="BO73" s="576"/>
      <c r="BP73" s="576"/>
      <c r="BQ73" s="576"/>
      <c r="BR73" s="576"/>
      <c r="BS73" s="576"/>
      <c r="BT73" s="576"/>
      <c r="BU73" s="576"/>
      <c r="BV73" s="576"/>
      <c r="BW73" s="576"/>
      <c r="BX73" s="577"/>
    </row>
    <row r="74" spans="1:76" x14ac:dyDescent="0.2">
      <c r="A74" s="576"/>
      <c r="B74" s="98"/>
      <c r="C74" s="98"/>
      <c r="D74" s="98"/>
      <c r="E74" s="98"/>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N74" s="576"/>
      <c r="AO74" s="576"/>
      <c r="AP74" s="576"/>
      <c r="AQ74" s="576"/>
      <c r="AR74" s="576"/>
      <c r="AS74" s="576"/>
      <c r="AT74" s="98"/>
      <c r="AU74" s="98"/>
      <c r="AV74" s="98"/>
      <c r="AW74" s="98"/>
      <c r="AX74" s="98"/>
      <c r="AY74" s="98"/>
      <c r="AZ74" s="576"/>
      <c r="BA74" s="576"/>
      <c r="BB74" s="576"/>
      <c r="BC74" s="576"/>
      <c r="BD74" s="576"/>
      <c r="BE74" s="576"/>
      <c r="BF74" s="576"/>
      <c r="BG74" s="576"/>
      <c r="BH74" s="576"/>
      <c r="BI74" s="576"/>
      <c r="BJ74" s="576"/>
      <c r="BK74" s="576"/>
      <c r="BL74" s="576"/>
      <c r="BM74" s="576"/>
      <c r="BN74" s="576"/>
      <c r="BO74" s="576"/>
      <c r="BP74" s="576"/>
      <c r="BQ74" s="576"/>
      <c r="BR74" s="576"/>
      <c r="BS74" s="576"/>
      <c r="BT74" s="576"/>
      <c r="BU74" s="576"/>
      <c r="BV74" s="576"/>
      <c r="BW74" s="576"/>
      <c r="BX74" s="577"/>
    </row>
    <row r="75" spans="1:76" x14ac:dyDescent="0.2">
      <c r="A75" s="576"/>
      <c r="B75" s="98"/>
      <c r="C75" s="98"/>
      <c r="D75" s="98"/>
      <c r="E75" s="98"/>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98"/>
      <c r="AU75" s="98"/>
      <c r="AV75" s="98"/>
      <c r="AW75" s="98"/>
      <c r="AX75" s="98"/>
      <c r="AY75" s="98"/>
      <c r="AZ75" s="576"/>
      <c r="BA75" s="576"/>
      <c r="BB75" s="576"/>
      <c r="BC75" s="576"/>
      <c r="BD75" s="576"/>
      <c r="BE75" s="576"/>
      <c r="BF75" s="576"/>
      <c r="BG75" s="576"/>
      <c r="BH75" s="576"/>
      <c r="BI75" s="576"/>
      <c r="BJ75" s="576"/>
      <c r="BK75" s="576"/>
      <c r="BL75" s="576"/>
      <c r="BM75" s="576"/>
      <c r="BN75" s="576"/>
      <c r="BO75" s="576"/>
      <c r="BP75" s="576"/>
      <c r="BQ75" s="576"/>
      <c r="BR75" s="576"/>
      <c r="BS75" s="576"/>
      <c r="BT75" s="576"/>
      <c r="BU75" s="576"/>
      <c r="BV75" s="576"/>
      <c r="BW75" s="576"/>
      <c r="BX75" s="577"/>
    </row>
    <row r="76" spans="1:76" x14ac:dyDescent="0.2">
      <c r="A76" s="576"/>
      <c r="B76" s="98"/>
      <c r="C76" s="98"/>
      <c r="D76" s="98"/>
      <c r="E76" s="98"/>
      <c r="F76" s="576"/>
      <c r="G76" s="576"/>
      <c r="H76" s="576"/>
      <c r="I76" s="576"/>
      <c r="J76" s="576"/>
      <c r="K76" s="576"/>
      <c r="L76" s="576"/>
      <c r="M76" s="576"/>
      <c r="N76" s="576"/>
      <c r="O76" s="576"/>
      <c r="P76" s="576"/>
      <c r="Q76" s="576"/>
      <c r="R76" s="576"/>
      <c r="S76" s="576"/>
      <c r="T76" s="576"/>
      <c r="U76" s="576"/>
      <c r="V76" s="576"/>
      <c r="W76" s="576"/>
      <c r="X76" s="576"/>
      <c r="Y76" s="576"/>
      <c r="Z76" s="576"/>
      <c r="AA76" s="576"/>
      <c r="AB76" s="576"/>
      <c r="AC76" s="576"/>
      <c r="AD76" s="576"/>
      <c r="AE76" s="576"/>
      <c r="AF76" s="576"/>
      <c r="AG76" s="576"/>
      <c r="AH76" s="576"/>
      <c r="AI76" s="576"/>
      <c r="AJ76" s="576"/>
      <c r="AK76" s="576"/>
      <c r="AL76" s="576"/>
      <c r="AM76" s="576"/>
      <c r="AN76" s="576"/>
      <c r="AO76" s="576"/>
      <c r="AP76" s="576"/>
      <c r="AQ76" s="576"/>
      <c r="AR76" s="576"/>
      <c r="AS76" s="576"/>
      <c r="AT76" s="98"/>
      <c r="AU76" s="98"/>
      <c r="AV76" s="98"/>
      <c r="AW76" s="98"/>
      <c r="AX76" s="98"/>
      <c r="AY76" s="98"/>
      <c r="AZ76" s="576"/>
      <c r="BA76" s="576"/>
      <c r="BB76" s="576"/>
      <c r="BC76" s="576"/>
      <c r="BD76" s="576"/>
      <c r="BE76" s="576"/>
      <c r="BF76" s="576"/>
      <c r="BG76" s="576"/>
      <c r="BH76" s="576"/>
      <c r="BI76" s="576"/>
      <c r="BJ76" s="576"/>
      <c r="BK76" s="576"/>
      <c r="BL76" s="576"/>
      <c r="BM76" s="576"/>
      <c r="BN76" s="576"/>
      <c r="BO76" s="576"/>
      <c r="BP76" s="576"/>
      <c r="BQ76" s="576"/>
      <c r="BR76" s="576"/>
      <c r="BS76" s="576"/>
      <c r="BT76" s="576"/>
      <c r="BU76" s="576"/>
      <c r="BV76" s="576"/>
      <c r="BW76" s="576"/>
      <c r="BX76" s="577"/>
    </row>
    <row r="77" spans="1:76" x14ac:dyDescent="0.2">
      <c r="A77" s="576"/>
      <c r="B77" s="98"/>
      <c r="C77" s="98"/>
      <c r="D77" s="98"/>
      <c r="E77" s="98"/>
      <c r="F77" s="576"/>
      <c r="G77" s="576"/>
      <c r="H77" s="576"/>
      <c r="I77" s="576"/>
      <c r="J77" s="576"/>
      <c r="K77" s="576"/>
      <c r="L77" s="576"/>
      <c r="M77" s="576"/>
      <c r="N77" s="576"/>
      <c r="O77" s="576"/>
      <c r="P77" s="576"/>
      <c r="Q77" s="576"/>
      <c r="R77" s="576"/>
      <c r="S77" s="576"/>
      <c r="T77" s="576"/>
      <c r="U77" s="576"/>
      <c r="V77" s="576"/>
      <c r="W77" s="576"/>
      <c r="X77" s="576"/>
      <c r="Y77" s="576"/>
      <c r="Z77" s="576"/>
      <c r="AA77" s="576"/>
      <c r="AB77" s="576"/>
      <c r="AC77" s="576"/>
      <c r="AD77" s="576"/>
      <c r="AE77" s="576"/>
      <c r="AF77" s="576"/>
      <c r="AG77" s="576"/>
      <c r="AH77" s="576"/>
      <c r="AI77" s="576"/>
      <c r="AJ77" s="576"/>
      <c r="AK77" s="576"/>
      <c r="AL77" s="576"/>
      <c r="AM77" s="576"/>
      <c r="AN77" s="576"/>
      <c r="AO77" s="576"/>
      <c r="AP77" s="576"/>
      <c r="AQ77" s="576"/>
      <c r="AR77" s="576"/>
      <c r="AS77" s="576"/>
      <c r="AT77" s="98"/>
      <c r="AU77" s="98"/>
      <c r="AV77" s="98"/>
      <c r="AW77" s="98"/>
      <c r="AX77" s="98"/>
      <c r="AY77" s="98"/>
      <c r="AZ77" s="576"/>
      <c r="BA77" s="576"/>
      <c r="BB77" s="576"/>
      <c r="BC77" s="576"/>
      <c r="BD77" s="576"/>
      <c r="BE77" s="576"/>
      <c r="BF77" s="576"/>
      <c r="BG77" s="576"/>
      <c r="BH77" s="576"/>
      <c r="BI77" s="576"/>
      <c r="BJ77" s="576"/>
      <c r="BK77" s="576"/>
      <c r="BL77" s="576"/>
      <c r="BM77" s="576"/>
      <c r="BN77" s="576"/>
      <c r="BO77" s="576"/>
      <c r="BP77" s="576"/>
      <c r="BQ77" s="576"/>
      <c r="BR77" s="576"/>
      <c r="BS77" s="576"/>
      <c r="BT77" s="576"/>
      <c r="BU77" s="576"/>
      <c r="BV77" s="576"/>
      <c r="BW77" s="576"/>
      <c r="BX77" s="577"/>
    </row>
    <row r="78" spans="1:76" x14ac:dyDescent="0.2">
      <c r="A78" s="576"/>
      <c r="B78" s="98"/>
      <c r="C78" s="98"/>
      <c r="D78" s="98"/>
      <c r="E78" s="98"/>
      <c r="F78" s="576"/>
      <c r="G78" s="576"/>
      <c r="H78" s="576"/>
      <c r="I78" s="576"/>
      <c r="J78" s="576"/>
      <c r="K78" s="576"/>
      <c r="L78" s="576"/>
      <c r="M78" s="576"/>
      <c r="N78" s="576"/>
      <c r="O78" s="576"/>
      <c r="P78" s="576"/>
      <c r="Q78" s="576"/>
      <c r="R78" s="576"/>
      <c r="S78" s="576"/>
      <c r="T78" s="576"/>
      <c r="U78" s="576"/>
      <c r="V78" s="576"/>
      <c r="W78" s="576"/>
      <c r="X78" s="576"/>
      <c r="Y78" s="576"/>
      <c r="Z78" s="576"/>
      <c r="AA78" s="576"/>
      <c r="AB78" s="576"/>
      <c r="AC78" s="576"/>
      <c r="AD78" s="576"/>
      <c r="AE78" s="576"/>
      <c r="AF78" s="576"/>
      <c r="AG78" s="576"/>
      <c r="AH78" s="576"/>
      <c r="AI78" s="576"/>
      <c r="AJ78" s="576"/>
      <c r="AK78" s="576"/>
      <c r="AL78" s="576"/>
      <c r="AM78" s="576"/>
      <c r="AN78" s="576"/>
      <c r="AO78" s="576"/>
      <c r="AP78" s="576"/>
      <c r="AQ78" s="576"/>
      <c r="AR78" s="576"/>
      <c r="AS78" s="576"/>
      <c r="AT78" s="98"/>
      <c r="AU78" s="98"/>
      <c r="AV78" s="98"/>
      <c r="AW78" s="98"/>
      <c r="AX78" s="98"/>
      <c r="AY78" s="98"/>
      <c r="AZ78" s="576"/>
      <c r="BA78" s="576"/>
      <c r="BB78" s="576"/>
      <c r="BC78" s="576"/>
      <c r="BD78" s="576"/>
      <c r="BE78" s="576"/>
      <c r="BF78" s="576"/>
      <c r="BG78" s="576"/>
      <c r="BH78" s="576"/>
      <c r="BI78" s="576"/>
      <c r="BJ78" s="576"/>
      <c r="BK78" s="576"/>
      <c r="BL78" s="576"/>
      <c r="BM78" s="576"/>
      <c r="BN78" s="576"/>
      <c r="BO78" s="576"/>
      <c r="BP78" s="576"/>
      <c r="BQ78" s="576"/>
      <c r="BR78" s="576"/>
      <c r="BS78" s="576"/>
      <c r="BT78" s="576"/>
      <c r="BU78" s="576"/>
      <c r="BV78" s="576"/>
      <c r="BW78" s="576"/>
      <c r="BX78" s="577"/>
    </row>
    <row r="79" spans="1:76" x14ac:dyDescent="0.2">
      <c r="A79" s="576"/>
      <c r="B79" s="98"/>
      <c r="C79" s="98"/>
      <c r="D79" s="98"/>
      <c r="E79" s="98"/>
      <c r="F79" s="576"/>
      <c r="G79" s="576"/>
      <c r="H79" s="576"/>
      <c r="I79" s="576"/>
      <c r="J79" s="576"/>
      <c r="K79" s="576"/>
      <c r="L79" s="576"/>
      <c r="M79" s="576"/>
      <c r="N79" s="576"/>
      <c r="O79" s="576"/>
      <c r="P79" s="576"/>
      <c r="Q79" s="576"/>
      <c r="R79" s="576"/>
      <c r="S79" s="576"/>
      <c r="T79" s="576"/>
      <c r="U79" s="576"/>
      <c r="V79" s="576"/>
      <c r="W79" s="576"/>
      <c r="X79" s="576"/>
      <c r="Y79" s="576"/>
      <c r="Z79" s="576"/>
      <c r="AA79" s="576"/>
      <c r="AB79" s="576"/>
      <c r="AC79" s="576"/>
      <c r="AD79" s="576"/>
      <c r="AE79" s="576"/>
      <c r="AF79" s="576"/>
      <c r="AG79" s="576"/>
      <c r="AH79" s="576"/>
      <c r="AI79" s="576"/>
      <c r="AJ79" s="576"/>
      <c r="AK79" s="576"/>
      <c r="AL79" s="576"/>
      <c r="AM79" s="576"/>
      <c r="AN79" s="576"/>
      <c r="AO79" s="576"/>
      <c r="AP79" s="576"/>
      <c r="AQ79" s="576"/>
      <c r="AR79" s="576"/>
      <c r="AS79" s="576"/>
      <c r="AT79" s="98"/>
      <c r="AU79" s="98"/>
      <c r="AV79" s="98"/>
      <c r="AW79" s="98"/>
      <c r="AX79" s="98"/>
      <c r="AY79" s="98"/>
      <c r="AZ79" s="576"/>
      <c r="BA79" s="576"/>
      <c r="BB79" s="576"/>
      <c r="BC79" s="576"/>
      <c r="BD79" s="576"/>
      <c r="BE79" s="576"/>
      <c r="BF79" s="576"/>
      <c r="BG79" s="576"/>
      <c r="BH79" s="576"/>
      <c r="BI79" s="576"/>
      <c r="BJ79" s="576"/>
      <c r="BK79" s="576"/>
      <c r="BL79" s="576"/>
      <c r="BM79" s="576"/>
      <c r="BN79" s="576"/>
      <c r="BO79" s="576"/>
      <c r="BP79" s="576"/>
      <c r="BQ79" s="576"/>
      <c r="BR79" s="576"/>
      <c r="BS79" s="576"/>
      <c r="BT79" s="576"/>
      <c r="BU79" s="576"/>
      <c r="BV79" s="576"/>
      <c r="BW79" s="576"/>
      <c r="BX79" s="577"/>
    </row>
    <row r="80" spans="1:76" x14ac:dyDescent="0.2">
      <c r="A80" s="576"/>
      <c r="B80" s="98"/>
      <c r="C80" s="98"/>
      <c r="D80" s="98"/>
      <c r="E80" s="98"/>
      <c r="F80" s="576"/>
      <c r="G80" s="576"/>
      <c r="H80" s="576"/>
      <c r="I80" s="576"/>
      <c r="J80" s="576"/>
      <c r="K80" s="576"/>
      <c r="L80" s="576"/>
      <c r="M80" s="576"/>
      <c r="N80" s="576"/>
      <c r="O80" s="576"/>
      <c r="P80" s="576"/>
      <c r="Q80" s="576"/>
      <c r="R80" s="576"/>
      <c r="S80" s="576"/>
      <c r="T80" s="576"/>
      <c r="U80" s="576"/>
      <c r="V80" s="576"/>
      <c r="W80" s="576"/>
      <c r="X80" s="576"/>
      <c r="Y80" s="576"/>
      <c r="Z80" s="576"/>
      <c r="AA80" s="576"/>
      <c r="AB80" s="576"/>
      <c r="AC80" s="576"/>
      <c r="AD80" s="576"/>
      <c r="AE80" s="576"/>
      <c r="AF80" s="576"/>
      <c r="AG80" s="576"/>
      <c r="AH80" s="576"/>
      <c r="AI80" s="576"/>
      <c r="AJ80" s="576"/>
      <c r="AK80" s="576"/>
      <c r="AL80" s="576"/>
      <c r="AM80" s="576"/>
      <c r="AN80" s="576"/>
      <c r="AO80" s="576"/>
      <c r="AP80" s="576"/>
      <c r="AQ80" s="576"/>
      <c r="AR80" s="576"/>
      <c r="AS80" s="576"/>
      <c r="AT80" s="98"/>
      <c r="AU80" s="98"/>
      <c r="AV80" s="98"/>
      <c r="AW80" s="98"/>
      <c r="AX80" s="98"/>
      <c r="AY80" s="98"/>
      <c r="AZ80" s="576"/>
      <c r="BA80" s="576"/>
      <c r="BB80" s="576"/>
      <c r="BC80" s="576"/>
      <c r="BD80" s="576"/>
      <c r="BE80" s="576"/>
      <c r="BF80" s="576"/>
      <c r="BG80" s="576"/>
      <c r="BH80" s="576"/>
      <c r="BI80" s="576"/>
      <c r="BJ80" s="576"/>
      <c r="BK80" s="576"/>
      <c r="BL80" s="576"/>
      <c r="BM80" s="576"/>
      <c r="BN80" s="576"/>
      <c r="BO80" s="576"/>
      <c r="BP80" s="576"/>
      <c r="BQ80" s="576"/>
      <c r="BR80" s="576"/>
      <c r="BS80" s="576"/>
      <c r="BT80" s="576"/>
      <c r="BU80" s="576"/>
      <c r="BV80" s="576"/>
      <c r="BW80" s="576"/>
      <c r="BX80" s="577"/>
    </row>
    <row r="81" spans="1:76" x14ac:dyDescent="0.2">
      <c r="A81" s="576"/>
      <c r="B81" s="98"/>
      <c r="C81" s="98"/>
      <c r="D81" s="98"/>
      <c r="E81" s="98"/>
      <c r="F81" s="576"/>
      <c r="G81" s="576"/>
      <c r="H81" s="576"/>
      <c r="I81" s="576"/>
      <c r="J81" s="576"/>
      <c r="K81" s="576"/>
      <c r="L81" s="576"/>
      <c r="M81" s="576"/>
      <c r="N81" s="576"/>
      <c r="O81" s="576"/>
      <c r="P81" s="576"/>
      <c r="Q81" s="576"/>
      <c r="R81" s="576"/>
      <c r="S81" s="576"/>
      <c r="T81" s="576"/>
      <c r="U81" s="576"/>
      <c r="V81" s="576"/>
      <c r="W81" s="576"/>
      <c r="X81" s="576"/>
      <c r="Y81" s="576"/>
      <c r="Z81" s="576"/>
      <c r="AA81" s="576"/>
      <c r="AB81" s="576"/>
      <c r="AC81" s="576"/>
      <c r="AD81" s="576"/>
      <c r="AE81" s="576"/>
      <c r="AF81" s="576"/>
      <c r="AG81" s="576"/>
      <c r="AH81" s="576"/>
      <c r="AI81" s="576"/>
      <c r="AJ81" s="576"/>
      <c r="AK81" s="576"/>
      <c r="AL81" s="576"/>
      <c r="AM81" s="576"/>
      <c r="AN81" s="576"/>
      <c r="AO81" s="576"/>
      <c r="AP81" s="576"/>
      <c r="AQ81" s="576"/>
      <c r="AR81" s="576"/>
      <c r="AS81" s="576"/>
      <c r="AT81" s="98"/>
      <c r="AU81" s="98"/>
      <c r="AV81" s="98"/>
      <c r="AW81" s="98"/>
      <c r="AX81" s="98"/>
      <c r="AY81" s="98"/>
      <c r="AZ81" s="576"/>
      <c r="BA81" s="576"/>
      <c r="BB81" s="576"/>
      <c r="BC81" s="576"/>
      <c r="BD81" s="576"/>
      <c r="BE81" s="576"/>
      <c r="BF81" s="576"/>
      <c r="BG81" s="576"/>
      <c r="BH81" s="576"/>
      <c r="BI81" s="576"/>
      <c r="BJ81" s="576"/>
      <c r="BK81" s="576"/>
      <c r="BL81" s="576"/>
      <c r="BM81" s="576"/>
      <c r="BN81" s="576"/>
      <c r="BO81" s="576"/>
      <c r="BP81" s="576"/>
      <c r="BQ81" s="576"/>
      <c r="BR81" s="576"/>
      <c r="BS81" s="576"/>
      <c r="BT81" s="576"/>
      <c r="BU81" s="576"/>
      <c r="BV81" s="576"/>
      <c r="BW81" s="576"/>
      <c r="BX81" s="577"/>
    </row>
    <row r="82" spans="1:76" x14ac:dyDescent="0.2">
      <c r="A82" s="576"/>
      <c r="B82" s="98"/>
      <c r="C82" s="98"/>
      <c r="D82" s="98"/>
      <c r="E82" s="98"/>
      <c r="F82" s="576"/>
      <c r="G82" s="576"/>
      <c r="H82" s="576"/>
      <c r="I82" s="576"/>
      <c r="J82" s="576"/>
      <c r="K82" s="576"/>
      <c r="L82" s="576"/>
      <c r="M82" s="576"/>
      <c r="N82" s="576"/>
      <c r="O82" s="576"/>
      <c r="P82" s="576"/>
      <c r="Q82" s="576"/>
      <c r="R82" s="576"/>
      <c r="S82" s="576"/>
      <c r="T82" s="576"/>
      <c r="U82" s="576"/>
      <c r="V82" s="576"/>
      <c r="W82" s="576"/>
      <c r="X82" s="576"/>
      <c r="Y82" s="576"/>
      <c r="Z82" s="576"/>
      <c r="AA82" s="576"/>
      <c r="AB82" s="576"/>
      <c r="AC82" s="576"/>
      <c r="AD82" s="576"/>
      <c r="AE82" s="576"/>
      <c r="AF82" s="576"/>
      <c r="AG82" s="576"/>
      <c r="AH82" s="576"/>
      <c r="AI82" s="576"/>
      <c r="AJ82" s="576"/>
      <c r="AK82" s="576"/>
      <c r="AL82" s="576"/>
      <c r="AM82" s="576"/>
      <c r="AN82" s="576"/>
      <c r="AO82" s="576"/>
      <c r="AP82" s="576"/>
      <c r="AQ82" s="576"/>
      <c r="AR82" s="576"/>
      <c r="AS82" s="576"/>
      <c r="AT82" s="98"/>
      <c r="AU82" s="98"/>
      <c r="AV82" s="98"/>
      <c r="AW82" s="98"/>
      <c r="AX82" s="98"/>
      <c r="AY82" s="98"/>
      <c r="AZ82" s="576"/>
      <c r="BA82" s="576"/>
      <c r="BB82" s="576"/>
      <c r="BC82" s="576"/>
      <c r="BD82" s="576"/>
      <c r="BE82" s="576"/>
      <c r="BF82" s="576"/>
      <c r="BG82" s="576"/>
      <c r="BH82" s="576"/>
      <c r="BI82" s="576"/>
      <c r="BJ82" s="576"/>
      <c r="BK82" s="576"/>
      <c r="BL82" s="576"/>
      <c r="BM82" s="576"/>
      <c r="BN82" s="576"/>
      <c r="BO82" s="576"/>
      <c r="BP82" s="576"/>
      <c r="BQ82" s="576"/>
      <c r="BR82" s="576"/>
      <c r="BS82" s="576"/>
      <c r="BT82" s="576"/>
      <c r="BU82" s="576"/>
      <c r="BV82" s="576"/>
      <c r="BW82" s="576"/>
      <c r="BX82" s="577"/>
    </row>
    <row r="83" spans="1:76" x14ac:dyDescent="0.2">
      <c r="A83" s="576"/>
      <c r="B83" s="98"/>
      <c r="C83" s="98"/>
      <c r="D83" s="98"/>
      <c r="E83" s="98"/>
      <c r="F83" s="576"/>
      <c r="G83" s="576"/>
      <c r="H83" s="576"/>
      <c r="I83" s="576"/>
      <c r="J83" s="576"/>
      <c r="K83" s="576"/>
      <c r="L83" s="576"/>
      <c r="M83" s="576"/>
      <c r="N83" s="576"/>
      <c r="O83" s="576"/>
      <c r="P83" s="576"/>
      <c r="Q83" s="576"/>
      <c r="R83" s="576"/>
      <c r="S83" s="576"/>
      <c r="T83" s="576"/>
      <c r="U83" s="576"/>
      <c r="V83" s="576"/>
      <c r="W83" s="576"/>
      <c r="X83" s="576"/>
      <c r="Y83" s="576"/>
      <c r="Z83" s="576"/>
      <c r="AA83" s="576"/>
      <c r="AB83" s="576"/>
      <c r="AC83" s="576"/>
      <c r="AD83" s="576"/>
      <c r="AE83" s="576"/>
      <c r="AF83" s="576"/>
      <c r="AG83" s="576"/>
      <c r="AH83" s="576"/>
      <c r="AI83" s="576"/>
      <c r="AJ83" s="576"/>
      <c r="AK83" s="576"/>
      <c r="AL83" s="576"/>
      <c r="AM83" s="576"/>
      <c r="AN83" s="576"/>
      <c r="AO83" s="576"/>
      <c r="AP83" s="576"/>
      <c r="AQ83" s="576"/>
      <c r="AR83" s="576"/>
      <c r="AS83" s="576"/>
      <c r="AT83" s="98"/>
      <c r="AU83" s="98"/>
      <c r="AV83" s="98"/>
      <c r="AW83" s="98"/>
      <c r="AX83" s="98"/>
      <c r="AY83" s="98"/>
      <c r="AZ83" s="576"/>
      <c r="BA83" s="576"/>
      <c r="BB83" s="576"/>
      <c r="BC83" s="576"/>
      <c r="BD83" s="576"/>
      <c r="BE83" s="576"/>
      <c r="BF83" s="576"/>
      <c r="BG83" s="576"/>
      <c r="BH83" s="576"/>
      <c r="BI83" s="576"/>
      <c r="BJ83" s="576"/>
      <c r="BK83" s="576"/>
      <c r="BL83" s="576"/>
      <c r="BM83" s="576"/>
      <c r="BN83" s="576"/>
      <c r="BO83" s="576"/>
      <c r="BP83" s="576"/>
      <c r="BQ83" s="576"/>
      <c r="BR83" s="576"/>
      <c r="BS83" s="576"/>
      <c r="BT83" s="576"/>
      <c r="BU83" s="576"/>
      <c r="BV83" s="576"/>
      <c r="BW83" s="576"/>
      <c r="BX83" s="577"/>
    </row>
    <row r="84" spans="1:76" x14ac:dyDescent="0.2">
      <c r="A84" s="576"/>
      <c r="B84" s="98"/>
      <c r="C84" s="98"/>
      <c r="D84" s="98"/>
      <c r="E84" s="98"/>
      <c r="F84" s="576"/>
      <c r="G84" s="576"/>
      <c r="H84" s="576"/>
      <c r="I84" s="576"/>
      <c r="J84" s="576"/>
      <c r="K84" s="576"/>
      <c r="L84" s="576"/>
      <c r="M84" s="576"/>
      <c r="N84" s="576"/>
      <c r="O84" s="576"/>
      <c r="P84" s="576"/>
      <c r="Q84" s="576"/>
      <c r="R84" s="576"/>
      <c r="S84" s="576"/>
      <c r="T84" s="576"/>
      <c r="U84" s="576"/>
      <c r="V84" s="576"/>
      <c r="W84" s="576"/>
      <c r="X84" s="576"/>
      <c r="Y84" s="576"/>
      <c r="Z84" s="576"/>
      <c r="AA84" s="576"/>
      <c r="AB84" s="576"/>
      <c r="AC84" s="576"/>
      <c r="AD84" s="576"/>
      <c r="AE84" s="576"/>
      <c r="AF84" s="576"/>
      <c r="AG84" s="576"/>
      <c r="AH84" s="576"/>
      <c r="AI84" s="576"/>
      <c r="AJ84" s="576"/>
      <c r="AK84" s="576"/>
      <c r="AL84" s="576"/>
      <c r="AM84" s="576"/>
      <c r="AN84" s="576"/>
      <c r="AO84" s="576"/>
      <c r="AP84" s="576"/>
      <c r="AQ84" s="576"/>
      <c r="AR84" s="576"/>
      <c r="AS84" s="576"/>
      <c r="AT84" s="98"/>
      <c r="AU84" s="98"/>
      <c r="AV84" s="98"/>
      <c r="AW84" s="98"/>
      <c r="AX84" s="98"/>
      <c r="AY84" s="98"/>
      <c r="AZ84" s="576"/>
      <c r="BA84" s="576"/>
      <c r="BB84" s="576"/>
      <c r="BC84" s="576"/>
      <c r="BD84" s="576"/>
      <c r="BE84" s="576"/>
      <c r="BF84" s="576"/>
      <c r="BG84" s="576"/>
      <c r="BH84" s="576"/>
      <c r="BI84" s="576"/>
      <c r="BJ84" s="576"/>
      <c r="BK84" s="576"/>
      <c r="BL84" s="576"/>
      <c r="BM84" s="576"/>
      <c r="BN84" s="576"/>
      <c r="BO84" s="576"/>
      <c r="BP84" s="576"/>
      <c r="BQ84" s="576"/>
      <c r="BR84" s="576"/>
      <c r="BS84" s="576"/>
      <c r="BT84" s="576"/>
      <c r="BU84" s="576"/>
      <c r="BV84" s="576"/>
      <c r="BW84" s="576"/>
      <c r="BX84" s="577"/>
    </row>
    <row r="85" spans="1:76" x14ac:dyDescent="0.2">
      <c r="A85" s="576"/>
      <c r="B85" s="98"/>
      <c r="C85" s="98"/>
      <c r="D85" s="98"/>
      <c r="E85" s="98"/>
      <c r="F85" s="576"/>
      <c r="G85" s="576"/>
      <c r="H85" s="576"/>
      <c r="I85" s="576"/>
      <c r="J85" s="576"/>
      <c r="K85" s="576"/>
      <c r="L85" s="576"/>
      <c r="M85" s="576"/>
      <c r="N85" s="576"/>
      <c r="O85" s="576"/>
      <c r="P85" s="576"/>
      <c r="Q85" s="576"/>
      <c r="R85" s="576"/>
      <c r="S85" s="576"/>
      <c r="T85" s="576"/>
      <c r="U85" s="576"/>
      <c r="V85" s="576"/>
      <c r="W85" s="576"/>
      <c r="X85" s="576"/>
      <c r="Y85" s="576"/>
      <c r="Z85" s="576"/>
      <c r="AA85" s="576"/>
      <c r="AB85" s="576"/>
      <c r="AC85" s="576"/>
      <c r="AD85" s="576"/>
      <c r="AE85" s="576"/>
      <c r="AF85" s="576"/>
      <c r="AG85" s="576"/>
      <c r="AH85" s="576"/>
      <c r="AI85" s="576"/>
      <c r="AJ85" s="576"/>
      <c r="AK85" s="576"/>
      <c r="AL85" s="576"/>
      <c r="AM85" s="576"/>
      <c r="AN85" s="576"/>
      <c r="AO85" s="576"/>
      <c r="AP85" s="576"/>
      <c r="AQ85" s="576"/>
      <c r="AR85" s="576"/>
      <c r="AS85" s="576"/>
      <c r="AT85" s="98"/>
      <c r="AU85" s="98"/>
      <c r="AV85" s="98"/>
      <c r="AW85" s="98"/>
      <c r="AX85" s="98"/>
      <c r="AY85" s="98"/>
      <c r="AZ85" s="576"/>
      <c r="BA85" s="576"/>
      <c r="BB85" s="576"/>
      <c r="BC85" s="576"/>
      <c r="BD85" s="576"/>
      <c r="BE85" s="576"/>
      <c r="BF85" s="576"/>
      <c r="BG85" s="576"/>
      <c r="BH85" s="576"/>
      <c r="BI85" s="576"/>
      <c r="BJ85" s="576"/>
      <c r="BK85" s="576"/>
      <c r="BL85" s="576"/>
      <c r="BM85" s="576"/>
      <c r="BN85" s="576"/>
      <c r="BO85" s="576"/>
      <c r="BP85" s="576"/>
      <c r="BQ85" s="576"/>
      <c r="BR85" s="576"/>
      <c r="BS85" s="576"/>
      <c r="BT85" s="576"/>
      <c r="BU85" s="576"/>
      <c r="BV85" s="576"/>
      <c r="BW85" s="576"/>
      <c r="BX85" s="577"/>
    </row>
    <row r="86" spans="1:76" x14ac:dyDescent="0.2">
      <c r="A86" s="576"/>
      <c r="B86" s="98"/>
      <c r="C86" s="98"/>
      <c r="D86" s="98"/>
      <c r="E86" s="98"/>
      <c r="F86" s="576"/>
      <c r="G86" s="576"/>
      <c r="H86" s="576"/>
      <c r="I86" s="576"/>
      <c r="J86" s="576"/>
      <c r="K86" s="576"/>
      <c r="L86" s="576"/>
      <c r="M86" s="576"/>
      <c r="N86" s="576"/>
      <c r="O86" s="576"/>
      <c r="P86" s="576"/>
      <c r="Q86" s="576"/>
      <c r="R86" s="576"/>
      <c r="S86" s="576"/>
      <c r="T86" s="576"/>
      <c r="U86" s="576"/>
      <c r="V86" s="576"/>
      <c r="W86" s="576"/>
      <c r="X86" s="576"/>
      <c r="Y86" s="576"/>
      <c r="Z86" s="576"/>
      <c r="AA86" s="576"/>
      <c r="AB86" s="576"/>
      <c r="AC86" s="576"/>
      <c r="AD86" s="576"/>
      <c r="AE86" s="576"/>
      <c r="AF86" s="576"/>
      <c r="AG86" s="576"/>
      <c r="AH86" s="576"/>
      <c r="AI86" s="576"/>
      <c r="AJ86" s="576"/>
      <c r="AK86" s="576"/>
      <c r="AL86" s="576"/>
      <c r="AM86" s="576"/>
      <c r="AN86" s="576"/>
      <c r="AO86" s="576"/>
      <c r="AP86" s="576"/>
      <c r="AQ86" s="576"/>
      <c r="AR86" s="576"/>
      <c r="AS86" s="576"/>
      <c r="AT86" s="98"/>
      <c r="AU86" s="98"/>
      <c r="AV86" s="98"/>
      <c r="AW86" s="98"/>
      <c r="AX86" s="98"/>
      <c r="AY86" s="98"/>
      <c r="AZ86" s="576"/>
      <c r="BA86" s="576"/>
      <c r="BB86" s="576"/>
      <c r="BC86" s="576"/>
      <c r="BD86" s="576"/>
      <c r="BE86" s="576"/>
      <c r="BF86" s="576"/>
      <c r="BG86" s="576"/>
      <c r="BH86" s="576"/>
      <c r="BI86" s="576"/>
      <c r="BJ86" s="576"/>
      <c r="BK86" s="576"/>
      <c r="BL86" s="576"/>
      <c r="BM86" s="576"/>
      <c r="BN86" s="576"/>
      <c r="BO86" s="576"/>
      <c r="BP86" s="576"/>
      <c r="BQ86" s="576"/>
      <c r="BR86" s="576"/>
      <c r="BS86" s="576"/>
      <c r="BT86" s="576"/>
      <c r="BU86" s="576"/>
      <c r="BV86" s="576"/>
      <c r="BW86" s="576"/>
      <c r="BX86" s="577"/>
    </row>
    <row r="87" spans="1:76" x14ac:dyDescent="0.2">
      <c r="A87" s="576"/>
      <c r="B87" s="98"/>
      <c r="C87" s="98"/>
      <c r="D87" s="98"/>
      <c r="E87" s="98"/>
      <c r="F87" s="576"/>
      <c r="G87" s="576"/>
      <c r="H87" s="576"/>
      <c r="I87" s="576"/>
      <c r="J87" s="576"/>
      <c r="K87" s="576"/>
      <c r="L87" s="576"/>
      <c r="M87" s="576"/>
      <c r="N87" s="576"/>
      <c r="O87" s="576"/>
      <c r="P87" s="576"/>
      <c r="Q87" s="576"/>
      <c r="R87" s="576"/>
      <c r="S87" s="576"/>
      <c r="T87" s="576"/>
      <c r="U87" s="576"/>
      <c r="V87" s="576"/>
      <c r="W87" s="576"/>
      <c r="X87" s="576"/>
      <c r="Y87" s="576"/>
      <c r="Z87" s="576"/>
      <c r="AA87" s="576"/>
      <c r="AB87" s="576"/>
      <c r="AC87" s="576"/>
      <c r="AD87" s="576"/>
      <c r="AE87" s="576"/>
      <c r="AF87" s="576"/>
      <c r="AG87" s="576"/>
      <c r="AH87" s="576"/>
      <c r="AI87" s="576"/>
      <c r="AJ87" s="576"/>
      <c r="AK87" s="576"/>
      <c r="AL87" s="576"/>
      <c r="AM87" s="576"/>
      <c r="AN87" s="576"/>
      <c r="AO87" s="576"/>
      <c r="AP87" s="576"/>
      <c r="AQ87" s="576"/>
      <c r="AR87" s="576"/>
      <c r="AS87" s="576"/>
      <c r="AT87" s="98"/>
      <c r="AU87" s="98"/>
      <c r="AV87" s="98"/>
      <c r="AW87" s="98"/>
      <c r="AX87" s="98"/>
      <c r="AY87" s="98"/>
      <c r="AZ87" s="576"/>
      <c r="BA87" s="576"/>
      <c r="BB87" s="576"/>
      <c r="BC87" s="576"/>
      <c r="BD87" s="576"/>
      <c r="BE87" s="576"/>
      <c r="BF87" s="576"/>
      <c r="BG87" s="576"/>
      <c r="BH87" s="576"/>
      <c r="BI87" s="576"/>
      <c r="BJ87" s="576"/>
      <c r="BK87" s="576"/>
      <c r="BL87" s="576"/>
      <c r="BM87" s="576"/>
      <c r="BN87" s="576"/>
      <c r="BO87" s="576"/>
      <c r="BP87" s="576"/>
      <c r="BQ87" s="576"/>
      <c r="BR87" s="576"/>
      <c r="BS87" s="576"/>
      <c r="BT87" s="576"/>
      <c r="BU87" s="576"/>
      <c r="BV87" s="576"/>
      <c r="BW87" s="576"/>
      <c r="BX87" s="577"/>
    </row>
    <row r="88" spans="1:76" x14ac:dyDescent="0.2">
      <c r="A88" s="576"/>
      <c r="B88" s="98"/>
      <c r="C88" s="98"/>
      <c r="D88" s="98"/>
      <c r="E88" s="98"/>
      <c r="F88" s="576"/>
      <c r="G88" s="576"/>
      <c r="H88" s="576"/>
      <c r="I88" s="576"/>
      <c r="J88" s="576"/>
      <c r="K88" s="576"/>
      <c r="L88" s="576"/>
      <c r="M88" s="576"/>
      <c r="N88" s="576"/>
      <c r="O88" s="576"/>
      <c r="P88" s="576"/>
      <c r="Q88" s="576"/>
      <c r="R88" s="576"/>
      <c r="S88" s="576"/>
      <c r="T88" s="576"/>
      <c r="U88" s="576"/>
      <c r="V88" s="576"/>
      <c r="W88" s="576"/>
      <c r="X88" s="576"/>
      <c r="Y88" s="576"/>
      <c r="Z88" s="576"/>
      <c r="AA88" s="576"/>
      <c r="AB88" s="576"/>
      <c r="AC88" s="576"/>
      <c r="AD88" s="576"/>
      <c r="AE88" s="576"/>
      <c r="AF88" s="576"/>
      <c r="AG88" s="576"/>
      <c r="AH88" s="576"/>
      <c r="AI88" s="576"/>
      <c r="AJ88" s="576"/>
      <c r="AK88" s="576"/>
      <c r="AL88" s="576"/>
      <c r="AM88" s="576"/>
      <c r="AN88" s="576"/>
      <c r="AO88" s="576"/>
      <c r="AP88" s="576"/>
      <c r="AQ88" s="576"/>
      <c r="AR88" s="576"/>
      <c r="AS88" s="576"/>
      <c r="AT88" s="98"/>
      <c r="AU88" s="98"/>
      <c r="AV88" s="98"/>
      <c r="AW88" s="98"/>
      <c r="AX88" s="98"/>
      <c r="AY88" s="98"/>
      <c r="AZ88" s="576"/>
      <c r="BA88" s="576"/>
      <c r="BB88" s="576"/>
      <c r="BC88" s="576"/>
      <c r="BD88" s="576"/>
      <c r="BE88" s="576"/>
      <c r="BF88" s="576"/>
      <c r="BG88" s="576"/>
      <c r="BH88" s="576"/>
      <c r="BI88" s="576"/>
      <c r="BJ88" s="576"/>
      <c r="BK88" s="576"/>
      <c r="BL88" s="576"/>
      <c r="BM88" s="576"/>
      <c r="BN88" s="576"/>
      <c r="BO88" s="576"/>
      <c r="BP88" s="576"/>
      <c r="BQ88" s="576"/>
      <c r="BR88" s="576"/>
      <c r="BS88" s="576"/>
      <c r="BT88" s="576"/>
      <c r="BU88" s="576"/>
      <c r="BV88" s="576"/>
      <c r="BW88" s="576"/>
      <c r="BX88" s="577"/>
    </row>
    <row r="89" spans="1:76" x14ac:dyDescent="0.2">
      <c r="A89" s="576"/>
      <c r="B89" s="98"/>
      <c r="C89" s="98"/>
      <c r="D89" s="98"/>
      <c r="E89" s="98"/>
      <c r="F89" s="576"/>
      <c r="G89" s="576"/>
      <c r="H89" s="576"/>
      <c r="I89" s="576"/>
      <c r="J89" s="576"/>
      <c r="K89" s="576"/>
      <c r="L89" s="576"/>
      <c r="M89" s="576"/>
      <c r="N89" s="576"/>
      <c r="O89" s="576"/>
      <c r="P89" s="576"/>
      <c r="Q89" s="576"/>
      <c r="R89" s="576"/>
      <c r="S89" s="576"/>
      <c r="T89" s="576"/>
      <c r="U89" s="576"/>
      <c r="V89" s="576"/>
      <c r="W89" s="576"/>
      <c r="X89" s="576"/>
      <c r="Y89" s="576"/>
      <c r="Z89" s="576"/>
      <c r="AA89" s="576"/>
      <c r="AB89" s="576"/>
      <c r="AC89" s="576"/>
      <c r="AD89" s="576"/>
      <c r="AE89" s="576"/>
      <c r="AF89" s="576"/>
      <c r="AG89" s="576"/>
      <c r="AH89" s="576"/>
      <c r="AI89" s="576"/>
      <c r="AJ89" s="576"/>
      <c r="AK89" s="576"/>
      <c r="AL89" s="576"/>
      <c r="AM89" s="576"/>
      <c r="AN89" s="576"/>
      <c r="AO89" s="576"/>
      <c r="AP89" s="576"/>
      <c r="AQ89" s="576"/>
      <c r="AR89" s="576"/>
      <c r="AS89" s="576"/>
      <c r="AT89" s="98"/>
      <c r="AU89" s="98"/>
      <c r="AV89" s="98"/>
      <c r="AW89" s="98"/>
      <c r="AX89" s="98"/>
      <c r="AY89" s="98"/>
      <c r="AZ89" s="576"/>
      <c r="BA89" s="576"/>
      <c r="BB89" s="576"/>
      <c r="BC89" s="576"/>
      <c r="BD89" s="576"/>
      <c r="BE89" s="576"/>
      <c r="BF89" s="576"/>
      <c r="BG89" s="576"/>
      <c r="BH89" s="576"/>
      <c r="BI89" s="576"/>
      <c r="BJ89" s="576"/>
      <c r="BK89" s="576"/>
      <c r="BL89" s="576"/>
      <c r="BM89" s="576"/>
      <c r="BN89" s="576"/>
      <c r="BO89" s="576"/>
      <c r="BP89" s="576"/>
      <c r="BQ89" s="576"/>
      <c r="BR89" s="576"/>
      <c r="BS89" s="576"/>
      <c r="BT89" s="576"/>
      <c r="BU89" s="576"/>
      <c r="BV89" s="576"/>
      <c r="BW89" s="576"/>
      <c r="BX89" s="577"/>
    </row>
    <row r="90" spans="1:76" x14ac:dyDescent="0.2">
      <c r="A90" s="576"/>
      <c r="B90" s="98"/>
      <c r="C90" s="98"/>
      <c r="D90" s="98"/>
      <c r="E90" s="98"/>
      <c r="F90" s="576"/>
      <c r="G90" s="576"/>
      <c r="H90" s="576"/>
      <c r="I90" s="576"/>
      <c r="J90" s="576"/>
      <c r="K90" s="576"/>
      <c r="L90" s="576"/>
      <c r="M90" s="576"/>
      <c r="N90" s="576"/>
      <c r="O90" s="576"/>
      <c r="P90" s="576"/>
      <c r="Q90" s="576"/>
      <c r="R90" s="576"/>
      <c r="S90" s="576"/>
      <c r="T90" s="576"/>
      <c r="U90" s="576"/>
      <c r="V90" s="576"/>
      <c r="W90" s="576"/>
      <c r="X90" s="576"/>
      <c r="Y90" s="576"/>
      <c r="Z90" s="576"/>
      <c r="AA90" s="576"/>
      <c r="AB90" s="576"/>
      <c r="AC90" s="576"/>
      <c r="AD90" s="576"/>
      <c r="AE90" s="576"/>
      <c r="AF90" s="576"/>
      <c r="AG90" s="576"/>
      <c r="AH90" s="576"/>
      <c r="AI90" s="576"/>
      <c r="AJ90" s="576"/>
      <c r="AK90" s="576"/>
      <c r="AL90" s="576"/>
      <c r="AM90" s="576"/>
      <c r="AN90" s="576"/>
      <c r="AO90" s="576"/>
      <c r="AP90" s="576"/>
      <c r="AQ90" s="576"/>
      <c r="AR90" s="576"/>
      <c r="AS90" s="576"/>
      <c r="AT90" s="98"/>
      <c r="AU90" s="98"/>
      <c r="AV90" s="98"/>
      <c r="AW90" s="98"/>
      <c r="AX90" s="98"/>
      <c r="AY90" s="98"/>
      <c r="AZ90" s="576"/>
      <c r="BA90" s="576"/>
      <c r="BB90" s="576"/>
      <c r="BC90" s="576"/>
      <c r="BD90" s="576"/>
      <c r="BE90" s="576"/>
      <c r="BF90" s="576"/>
      <c r="BG90" s="576"/>
      <c r="BH90" s="576"/>
      <c r="BI90" s="576"/>
      <c r="BJ90" s="576"/>
      <c r="BK90" s="576"/>
      <c r="BL90" s="576"/>
      <c r="BM90" s="576"/>
      <c r="BN90" s="576"/>
      <c r="BO90" s="576"/>
      <c r="BP90" s="576"/>
      <c r="BQ90" s="576"/>
      <c r="BR90" s="576"/>
      <c r="BS90" s="576"/>
      <c r="BT90" s="576"/>
      <c r="BU90" s="576"/>
      <c r="BV90" s="576"/>
      <c r="BW90" s="576"/>
      <c r="BX90" s="577"/>
    </row>
    <row r="91" spans="1:76" x14ac:dyDescent="0.2">
      <c r="A91" s="576"/>
      <c r="B91" s="98"/>
      <c r="C91" s="98"/>
      <c r="D91" s="98"/>
      <c r="E91" s="98"/>
      <c r="F91" s="576"/>
      <c r="G91" s="576"/>
      <c r="H91" s="576"/>
      <c r="I91" s="576"/>
      <c r="J91" s="576"/>
      <c r="K91" s="576"/>
      <c r="L91" s="576"/>
      <c r="M91" s="576"/>
      <c r="N91" s="576"/>
      <c r="O91" s="576"/>
      <c r="P91" s="576"/>
      <c r="Q91" s="576"/>
      <c r="R91" s="576"/>
      <c r="S91" s="576"/>
      <c r="T91" s="576"/>
      <c r="U91" s="576"/>
      <c r="V91" s="576"/>
      <c r="W91" s="576"/>
      <c r="X91" s="576"/>
      <c r="Y91" s="576"/>
      <c r="Z91" s="576"/>
      <c r="AA91" s="576"/>
      <c r="AB91" s="576"/>
      <c r="AC91" s="576"/>
      <c r="AD91" s="576"/>
      <c r="AE91" s="576"/>
      <c r="AF91" s="576"/>
      <c r="AG91" s="576"/>
      <c r="AH91" s="576"/>
      <c r="AI91" s="576"/>
      <c r="AJ91" s="576"/>
      <c r="AK91" s="576"/>
      <c r="AL91" s="576"/>
      <c r="AM91" s="576"/>
      <c r="AN91" s="576"/>
      <c r="AO91" s="576"/>
      <c r="AP91" s="576"/>
      <c r="AQ91" s="576"/>
      <c r="AR91" s="576"/>
      <c r="AS91" s="576"/>
      <c r="AT91" s="98"/>
      <c r="AU91" s="98"/>
      <c r="AV91" s="98"/>
      <c r="AW91" s="98"/>
      <c r="AX91" s="98"/>
      <c r="AY91" s="98"/>
      <c r="AZ91" s="576"/>
      <c r="BA91" s="576"/>
      <c r="BB91" s="576"/>
      <c r="BC91" s="576"/>
      <c r="BD91" s="576"/>
      <c r="BE91" s="576"/>
      <c r="BF91" s="576"/>
      <c r="BG91" s="576"/>
      <c r="BH91" s="576"/>
      <c r="BI91" s="576"/>
      <c r="BJ91" s="576"/>
      <c r="BK91" s="576"/>
      <c r="BL91" s="576"/>
      <c r="BM91" s="576"/>
      <c r="BN91" s="576"/>
      <c r="BO91" s="576"/>
      <c r="BP91" s="576"/>
      <c r="BQ91" s="576"/>
      <c r="BR91" s="576"/>
      <c r="BS91" s="576"/>
      <c r="BT91" s="576"/>
      <c r="BU91" s="576"/>
      <c r="BV91" s="576"/>
      <c r="BW91" s="576"/>
      <c r="BX91" s="577"/>
    </row>
    <row r="92" spans="1:76" x14ac:dyDescent="0.2">
      <c r="A92" s="576"/>
      <c r="B92" s="98"/>
      <c r="C92" s="98"/>
      <c r="D92" s="98"/>
      <c r="E92" s="98"/>
      <c r="F92" s="576"/>
      <c r="G92" s="576"/>
      <c r="H92" s="576"/>
      <c r="I92" s="576"/>
      <c r="J92" s="576"/>
      <c r="K92" s="576"/>
      <c r="L92" s="576"/>
      <c r="M92" s="576"/>
      <c r="N92" s="576"/>
      <c r="O92" s="576"/>
      <c r="P92" s="576"/>
      <c r="Q92" s="576"/>
      <c r="R92" s="576"/>
      <c r="S92" s="576"/>
      <c r="T92" s="576"/>
      <c r="U92" s="576"/>
      <c r="V92" s="576"/>
      <c r="W92" s="576"/>
      <c r="X92" s="576"/>
      <c r="Y92" s="576"/>
      <c r="Z92" s="576"/>
      <c r="AA92" s="576"/>
      <c r="AB92" s="576"/>
      <c r="AC92" s="576"/>
      <c r="AD92" s="576"/>
      <c r="AE92" s="576"/>
      <c r="AF92" s="576"/>
      <c r="AG92" s="576"/>
      <c r="AH92" s="576"/>
      <c r="AI92" s="576"/>
      <c r="AJ92" s="576"/>
      <c r="AK92" s="576"/>
      <c r="AL92" s="576"/>
      <c r="AM92" s="576"/>
      <c r="AN92" s="576"/>
      <c r="AO92" s="576"/>
      <c r="AP92" s="576"/>
      <c r="AQ92" s="576"/>
      <c r="AR92" s="576"/>
      <c r="AS92" s="576"/>
      <c r="AT92" s="98"/>
      <c r="AU92" s="98"/>
      <c r="AV92" s="98"/>
      <c r="AW92" s="98"/>
      <c r="AX92" s="98"/>
      <c r="AY92" s="98"/>
      <c r="AZ92" s="576"/>
      <c r="BA92" s="576"/>
      <c r="BB92" s="576"/>
      <c r="BC92" s="576"/>
      <c r="BD92" s="576"/>
      <c r="BE92" s="576"/>
      <c r="BF92" s="576"/>
      <c r="BG92" s="576"/>
      <c r="BH92" s="576"/>
      <c r="BI92" s="576"/>
      <c r="BJ92" s="576"/>
      <c r="BK92" s="576"/>
      <c r="BL92" s="576"/>
      <c r="BM92" s="576"/>
      <c r="BN92" s="576"/>
      <c r="BO92" s="576"/>
      <c r="BP92" s="576"/>
      <c r="BQ92" s="576"/>
      <c r="BR92" s="576"/>
      <c r="BS92" s="576"/>
      <c r="BT92" s="576"/>
      <c r="BU92" s="576"/>
      <c r="BV92" s="576"/>
      <c r="BW92" s="576"/>
      <c r="BX92" s="577"/>
    </row>
    <row r="93" spans="1:76" x14ac:dyDescent="0.2">
      <c r="A93" s="576"/>
      <c r="B93" s="98"/>
      <c r="C93" s="98"/>
      <c r="D93" s="98"/>
      <c r="E93" s="98"/>
      <c r="F93" s="576"/>
      <c r="G93" s="576"/>
      <c r="H93" s="576"/>
      <c r="I93" s="576"/>
      <c r="J93" s="576"/>
      <c r="K93" s="576"/>
      <c r="L93" s="576"/>
      <c r="M93" s="576"/>
      <c r="N93" s="576"/>
      <c r="O93" s="576"/>
      <c r="P93" s="576"/>
      <c r="Q93" s="576"/>
      <c r="R93" s="576"/>
      <c r="S93" s="576"/>
      <c r="T93" s="576"/>
      <c r="U93" s="576"/>
      <c r="V93" s="576"/>
      <c r="W93" s="576"/>
      <c r="X93" s="576"/>
      <c r="Y93" s="576"/>
      <c r="Z93" s="576"/>
      <c r="AA93" s="576"/>
      <c r="AB93" s="576"/>
      <c r="AC93" s="576"/>
      <c r="AD93" s="576"/>
      <c r="AE93" s="576"/>
      <c r="AF93" s="576"/>
      <c r="AG93" s="576"/>
      <c r="AH93" s="576"/>
      <c r="AI93" s="576"/>
      <c r="AJ93" s="576"/>
      <c r="AK93" s="576"/>
      <c r="AL93" s="576"/>
      <c r="AM93" s="576"/>
      <c r="AN93" s="576"/>
      <c r="AO93" s="576"/>
      <c r="AP93" s="576"/>
      <c r="AQ93" s="576"/>
      <c r="AR93" s="576"/>
      <c r="AS93" s="576"/>
      <c r="AT93" s="98"/>
      <c r="AU93" s="98"/>
      <c r="AV93" s="98"/>
      <c r="AW93" s="98"/>
      <c r="AX93" s="98"/>
      <c r="AY93" s="98"/>
      <c r="AZ93" s="576"/>
      <c r="BA93" s="576"/>
      <c r="BB93" s="576"/>
      <c r="BC93" s="576"/>
      <c r="BD93" s="576"/>
      <c r="BE93" s="576"/>
      <c r="BF93" s="576"/>
      <c r="BG93" s="576"/>
      <c r="BH93" s="576"/>
      <c r="BI93" s="576"/>
      <c r="BJ93" s="576"/>
      <c r="BK93" s="576"/>
      <c r="BL93" s="576"/>
      <c r="BM93" s="576"/>
      <c r="BN93" s="576"/>
      <c r="BO93" s="576"/>
      <c r="BP93" s="576"/>
      <c r="BQ93" s="576"/>
      <c r="BR93" s="576"/>
      <c r="BS93" s="576"/>
      <c r="BT93" s="576"/>
      <c r="BU93" s="576"/>
      <c r="BV93" s="576"/>
      <c r="BW93" s="576"/>
      <c r="BX93" s="577"/>
    </row>
    <row r="94" spans="1:76" x14ac:dyDescent="0.2">
      <c r="A94" s="576"/>
      <c r="B94" s="98"/>
      <c r="C94" s="98"/>
      <c r="D94" s="98"/>
      <c r="E94" s="98"/>
      <c r="F94" s="576"/>
      <c r="G94" s="576"/>
      <c r="H94" s="576"/>
      <c r="I94" s="576"/>
      <c r="J94" s="576"/>
      <c r="K94" s="576"/>
      <c r="L94" s="576"/>
      <c r="M94" s="576"/>
      <c r="N94" s="576"/>
      <c r="O94" s="576"/>
      <c r="P94" s="576"/>
      <c r="Q94" s="576"/>
      <c r="R94" s="576"/>
      <c r="S94" s="576"/>
      <c r="T94" s="576"/>
      <c r="U94" s="576"/>
      <c r="V94" s="576"/>
      <c r="W94" s="576"/>
      <c r="X94" s="576"/>
      <c r="Y94" s="576"/>
      <c r="Z94" s="576"/>
      <c r="AA94" s="576"/>
      <c r="AB94" s="576"/>
      <c r="AC94" s="576"/>
      <c r="AD94" s="576"/>
      <c r="AE94" s="576"/>
      <c r="AF94" s="576"/>
      <c r="AG94" s="576"/>
      <c r="AH94" s="576"/>
      <c r="AI94" s="576"/>
      <c r="AJ94" s="576"/>
      <c r="AK94" s="576"/>
      <c r="AL94" s="576"/>
      <c r="AM94" s="576"/>
      <c r="AN94" s="576"/>
      <c r="AO94" s="576"/>
      <c r="AP94" s="576"/>
      <c r="AQ94" s="576"/>
      <c r="AR94" s="576"/>
      <c r="AS94" s="576"/>
      <c r="AT94" s="98"/>
      <c r="AU94" s="98"/>
      <c r="AV94" s="98"/>
      <c r="AW94" s="98"/>
      <c r="AX94" s="98"/>
      <c r="AY94" s="98"/>
      <c r="AZ94" s="576"/>
      <c r="BA94" s="576"/>
      <c r="BB94" s="576"/>
      <c r="BC94" s="576"/>
      <c r="BD94" s="576"/>
      <c r="BE94" s="576"/>
      <c r="BF94" s="576"/>
      <c r="BG94" s="576"/>
      <c r="BH94" s="576"/>
      <c r="BI94" s="576"/>
      <c r="BJ94" s="576"/>
      <c r="BK94" s="576"/>
      <c r="BL94" s="576"/>
      <c r="BM94" s="576"/>
      <c r="BN94" s="576"/>
      <c r="BO94" s="576"/>
      <c r="BP94" s="576"/>
      <c r="BQ94" s="576"/>
      <c r="BR94" s="576"/>
      <c r="BS94" s="576"/>
      <c r="BT94" s="576"/>
      <c r="BU94" s="576"/>
      <c r="BV94" s="576"/>
      <c r="BW94" s="576"/>
      <c r="BX94" s="577"/>
    </row>
    <row r="95" spans="1:76" x14ac:dyDescent="0.2">
      <c r="A95" s="576"/>
      <c r="B95" s="98"/>
      <c r="C95" s="98"/>
      <c r="D95" s="98"/>
      <c r="E95" s="98"/>
      <c r="F95" s="576"/>
      <c r="G95" s="576"/>
      <c r="H95" s="576"/>
      <c r="I95" s="576"/>
      <c r="J95" s="576"/>
      <c r="K95" s="576"/>
      <c r="L95" s="576"/>
      <c r="M95" s="576"/>
      <c r="N95" s="576"/>
      <c r="O95" s="576"/>
      <c r="P95" s="576"/>
      <c r="Q95" s="576"/>
      <c r="R95" s="576"/>
      <c r="S95" s="576"/>
      <c r="T95" s="576"/>
      <c r="U95" s="576"/>
      <c r="V95" s="576"/>
      <c r="W95" s="576"/>
      <c r="X95" s="576"/>
      <c r="Y95" s="576"/>
      <c r="Z95" s="576"/>
      <c r="AA95" s="576"/>
      <c r="AB95" s="576"/>
      <c r="AC95" s="576"/>
      <c r="AD95" s="576"/>
      <c r="AE95" s="576"/>
      <c r="AF95" s="576"/>
      <c r="AG95" s="576"/>
      <c r="AH95" s="576"/>
      <c r="AI95" s="576"/>
      <c r="AJ95" s="576"/>
      <c r="AK95" s="576"/>
      <c r="AL95" s="576"/>
      <c r="AM95" s="576"/>
      <c r="AN95" s="576"/>
      <c r="AO95" s="576"/>
      <c r="AP95" s="576"/>
      <c r="AQ95" s="576"/>
      <c r="AR95" s="576"/>
      <c r="AS95" s="576"/>
      <c r="AT95" s="98"/>
      <c r="AU95" s="98"/>
      <c r="AV95" s="98"/>
      <c r="AW95" s="98"/>
      <c r="AX95" s="98"/>
      <c r="AY95" s="98"/>
      <c r="AZ95" s="576"/>
      <c r="BA95" s="576"/>
      <c r="BB95" s="576"/>
      <c r="BC95" s="576"/>
      <c r="BD95" s="576"/>
      <c r="BE95" s="576"/>
      <c r="BF95" s="576"/>
      <c r="BG95" s="576"/>
      <c r="BH95" s="576"/>
      <c r="BI95" s="576"/>
      <c r="BJ95" s="576"/>
      <c r="BK95" s="576"/>
      <c r="BL95" s="576"/>
      <c r="BM95" s="576"/>
      <c r="BN95" s="576"/>
      <c r="BO95" s="576"/>
      <c r="BP95" s="576"/>
      <c r="BQ95" s="576"/>
      <c r="BR95" s="576"/>
      <c r="BS95" s="576"/>
      <c r="BT95" s="576"/>
      <c r="BU95" s="576"/>
      <c r="BV95" s="576"/>
      <c r="BW95" s="576"/>
      <c r="BX95" s="577"/>
    </row>
    <row r="96" spans="1:76" x14ac:dyDescent="0.2">
      <c r="A96" s="576"/>
      <c r="B96" s="98"/>
      <c r="C96" s="98"/>
      <c r="D96" s="98"/>
      <c r="E96" s="98"/>
      <c r="F96" s="576"/>
      <c r="G96" s="576"/>
      <c r="H96" s="576"/>
      <c r="I96" s="576"/>
      <c r="J96" s="576"/>
      <c r="K96" s="576"/>
      <c r="L96" s="576"/>
      <c r="M96" s="576"/>
      <c r="N96" s="576"/>
      <c r="O96" s="576"/>
      <c r="P96" s="576"/>
      <c r="Q96" s="576"/>
      <c r="R96" s="576"/>
      <c r="S96" s="576"/>
      <c r="T96" s="576"/>
      <c r="U96" s="576"/>
      <c r="V96" s="576"/>
      <c r="W96" s="576"/>
      <c r="X96" s="576"/>
      <c r="Y96" s="576"/>
      <c r="Z96" s="576"/>
      <c r="AA96" s="576"/>
      <c r="AB96" s="576"/>
      <c r="AC96" s="576"/>
      <c r="AD96" s="576"/>
      <c r="AE96" s="576"/>
      <c r="AF96" s="576"/>
      <c r="AG96" s="576"/>
      <c r="AH96" s="576"/>
      <c r="AI96" s="576"/>
      <c r="AJ96" s="576"/>
      <c r="AK96" s="576"/>
      <c r="AL96" s="576"/>
      <c r="AM96" s="576"/>
      <c r="AN96" s="576"/>
      <c r="AO96" s="576"/>
      <c r="AP96" s="576"/>
      <c r="AQ96" s="576"/>
      <c r="AR96" s="576"/>
      <c r="AS96" s="576"/>
      <c r="AT96" s="98"/>
      <c r="AU96" s="98"/>
      <c r="AV96" s="98"/>
      <c r="AW96" s="98"/>
      <c r="AX96" s="98"/>
      <c r="AY96" s="98"/>
      <c r="AZ96" s="576"/>
      <c r="BA96" s="576"/>
      <c r="BB96" s="576"/>
      <c r="BC96" s="576"/>
      <c r="BD96" s="576"/>
      <c r="BE96" s="576"/>
      <c r="BF96" s="576"/>
      <c r="BG96" s="576"/>
      <c r="BH96" s="576"/>
      <c r="BI96" s="576"/>
      <c r="BJ96" s="576"/>
      <c r="BK96" s="576"/>
      <c r="BL96" s="576"/>
      <c r="BM96" s="576"/>
      <c r="BN96" s="576"/>
      <c r="BO96" s="576"/>
      <c r="BP96" s="576"/>
      <c r="BQ96" s="576"/>
      <c r="BR96" s="576"/>
      <c r="BS96" s="576"/>
      <c r="BT96" s="576"/>
      <c r="BU96" s="576"/>
      <c r="BV96" s="576"/>
      <c r="BW96" s="576"/>
      <c r="BX96" s="577"/>
    </row>
    <row r="97" spans="1:76" x14ac:dyDescent="0.2">
      <c r="A97" s="576"/>
      <c r="B97" s="98"/>
      <c r="C97" s="98"/>
      <c r="D97" s="98"/>
      <c r="E97" s="98"/>
      <c r="F97" s="576"/>
      <c r="G97" s="576"/>
      <c r="H97" s="576"/>
      <c r="I97" s="576"/>
      <c r="J97" s="576"/>
      <c r="K97" s="576"/>
      <c r="L97" s="576"/>
      <c r="M97" s="576"/>
      <c r="N97" s="576"/>
      <c r="O97" s="576"/>
      <c r="P97" s="576"/>
      <c r="Q97" s="576"/>
      <c r="R97" s="576"/>
      <c r="S97" s="576"/>
      <c r="T97" s="576"/>
      <c r="U97" s="576"/>
      <c r="V97" s="576"/>
      <c r="W97" s="576"/>
      <c r="X97" s="576"/>
      <c r="Y97" s="576"/>
      <c r="Z97" s="576"/>
      <c r="AA97" s="576"/>
      <c r="AB97" s="576"/>
      <c r="AC97" s="576"/>
      <c r="AD97" s="576"/>
      <c r="AE97" s="576"/>
      <c r="AF97" s="576"/>
      <c r="AG97" s="576"/>
      <c r="AH97" s="576"/>
      <c r="AI97" s="576"/>
      <c r="AJ97" s="576"/>
      <c r="AK97" s="576"/>
      <c r="AL97" s="576"/>
      <c r="AM97" s="576"/>
      <c r="AN97" s="576"/>
      <c r="AO97" s="576"/>
      <c r="AP97" s="576"/>
      <c r="AQ97" s="576"/>
      <c r="AR97" s="576"/>
      <c r="AS97" s="576"/>
      <c r="AT97" s="98"/>
      <c r="AU97" s="98"/>
      <c r="AV97" s="98"/>
      <c r="AW97" s="98"/>
      <c r="AX97" s="98"/>
      <c r="AY97" s="98"/>
      <c r="AZ97" s="576"/>
      <c r="BA97" s="576"/>
      <c r="BB97" s="576"/>
      <c r="BC97" s="576"/>
      <c r="BD97" s="576"/>
      <c r="BE97" s="576"/>
      <c r="BF97" s="576"/>
      <c r="BG97" s="576"/>
      <c r="BH97" s="576"/>
      <c r="BI97" s="576"/>
      <c r="BJ97" s="576"/>
      <c r="BK97" s="576"/>
      <c r="BL97" s="576"/>
      <c r="BM97" s="576"/>
      <c r="BN97" s="576"/>
      <c r="BO97" s="576"/>
      <c r="BP97" s="576"/>
      <c r="BQ97" s="576"/>
      <c r="BR97" s="576"/>
      <c r="BS97" s="576"/>
      <c r="BT97" s="576"/>
      <c r="BU97" s="576"/>
      <c r="BV97" s="576"/>
      <c r="BW97" s="576"/>
      <c r="BX97" s="577"/>
    </row>
    <row r="98" spans="1:76" x14ac:dyDescent="0.2">
      <c r="A98" s="576"/>
      <c r="B98" s="98"/>
      <c r="C98" s="98"/>
      <c r="D98" s="98"/>
      <c r="E98" s="98"/>
      <c r="F98" s="576"/>
      <c r="G98" s="576"/>
      <c r="H98" s="576"/>
      <c r="I98" s="576"/>
      <c r="J98" s="576"/>
      <c r="K98" s="576"/>
      <c r="L98" s="576"/>
      <c r="M98" s="576"/>
      <c r="N98" s="576"/>
      <c r="O98" s="576"/>
      <c r="P98" s="576"/>
      <c r="Q98" s="576"/>
      <c r="R98" s="576"/>
      <c r="S98" s="576"/>
      <c r="T98" s="576"/>
      <c r="U98" s="576"/>
      <c r="V98" s="576"/>
      <c r="W98" s="576"/>
      <c r="X98" s="576"/>
      <c r="Y98" s="576"/>
      <c r="Z98" s="576"/>
      <c r="AA98" s="576"/>
      <c r="AB98" s="576"/>
      <c r="AC98" s="576"/>
      <c r="AD98" s="576"/>
      <c r="AE98" s="576"/>
      <c r="AF98" s="576"/>
      <c r="AG98" s="576"/>
      <c r="AH98" s="576"/>
      <c r="AI98" s="576"/>
      <c r="AJ98" s="576"/>
      <c r="AK98" s="576"/>
      <c r="AL98" s="576"/>
      <c r="AM98" s="576"/>
      <c r="AN98" s="576"/>
      <c r="AO98" s="576"/>
      <c r="AP98" s="576"/>
      <c r="AQ98" s="576"/>
      <c r="AR98" s="576"/>
      <c r="AS98" s="576"/>
      <c r="AT98" s="98"/>
      <c r="AU98" s="98"/>
      <c r="AV98" s="98"/>
      <c r="AW98" s="98"/>
      <c r="AX98" s="98"/>
      <c r="AY98" s="98"/>
      <c r="AZ98" s="576"/>
      <c r="BA98" s="576"/>
      <c r="BB98" s="576"/>
      <c r="BC98" s="576"/>
      <c r="BD98" s="576"/>
      <c r="BE98" s="576"/>
      <c r="BF98" s="576"/>
      <c r="BG98" s="576"/>
      <c r="BH98" s="576"/>
      <c r="BI98" s="576"/>
      <c r="BJ98" s="576"/>
      <c r="BK98" s="576"/>
      <c r="BL98" s="576"/>
      <c r="BM98" s="576"/>
      <c r="BN98" s="576"/>
      <c r="BO98" s="576"/>
      <c r="BP98" s="576"/>
      <c r="BQ98" s="576"/>
      <c r="BR98" s="576"/>
      <c r="BS98" s="576"/>
      <c r="BT98" s="576"/>
      <c r="BU98" s="576"/>
      <c r="BV98" s="576"/>
      <c r="BW98" s="576"/>
      <c r="BX98" s="577"/>
    </row>
    <row r="99" spans="1:76" x14ac:dyDescent="0.2">
      <c r="A99" s="576"/>
      <c r="B99" s="98"/>
      <c r="C99" s="98"/>
      <c r="D99" s="98"/>
      <c r="E99" s="98"/>
      <c r="F99" s="576"/>
      <c r="G99" s="576"/>
      <c r="H99" s="576"/>
      <c r="I99" s="576"/>
      <c r="J99" s="576"/>
      <c r="K99" s="576"/>
      <c r="L99" s="576"/>
      <c r="M99" s="576"/>
      <c r="N99" s="576"/>
      <c r="O99" s="576"/>
      <c r="P99" s="576"/>
      <c r="Q99" s="576"/>
      <c r="R99" s="576"/>
      <c r="S99" s="576"/>
      <c r="T99" s="576"/>
      <c r="U99" s="576"/>
      <c r="V99" s="576"/>
      <c r="W99" s="576"/>
      <c r="X99" s="576"/>
      <c r="Y99" s="576"/>
      <c r="Z99" s="576"/>
      <c r="AA99" s="576"/>
      <c r="AB99" s="576"/>
      <c r="AC99" s="576"/>
      <c r="AD99" s="576"/>
      <c r="AE99" s="576"/>
      <c r="AF99" s="576"/>
      <c r="AG99" s="576"/>
      <c r="AH99" s="576"/>
      <c r="AI99" s="576"/>
      <c r="AJ99" s="576"/>
      <c r="AK99" s="576"/>
      <c r="AL99" s="576"/>
      <c r="AM99" s="576"/>
      <c r="AN99" s="576"/>
      <c r="AO99" s="576"/>
      <c r="AP99" s="576"/>
      <c r="AQ99" s="576"/>
      <c r="AR99" s="576"/>
      <c r="AS99" s="576"/>
      <c r="AT99" s="98"/>
      <c r="AU99" s="98"/>
      <c r="AV99" s="98"/>
      <c r="AW99" s="98"/>
      <c r="AX99" s="98"/>
      <c r="AY99" s="98"/>
      <c r="AZ99" s="576"/>
      <c r="BA99" s="576"/>
      <c r="BB99" s="576"/>
      <c r="BC99" s="576"/>
      <c r="BD99" s="576"/>
      <c r="BE99" s="576"/>
      <c r="BF99" s="576"/>
      <c r="BG99" s="576"/>
      <c r="BH99" s="576"/>
      <c r="BI99" s="576"/>
      <c r="BJ99" s="576"/>
      <c r="BK99" s="576"/>
      <c r="BL99" s="576"/>
      <c r="BM99" s="576"/>
      <c r="BN99" s="576"/>
      <c r="BO99" s="576"/>
      <c r="BP99" s="576"/>
      <c r="BQ99" s="576"/>
      <c r="BR99" s="576"/>
      <c r="BS99" s="576"/>
      <c r="BT99" s="576"/>
      <c r="BU99" s="576"/>
      <c r="BV99" s="576"/>
      <c r="BW99" s="576"/>
      <c r="BX99" s="577"/>
    </row>
    <row r="100" spans="1:76" x14ac:dyDescent="0.2">
      <c r="A100" s="576"/>
      <c r="B100" s="98"/>
      <c r="C100" s="98"/>
      <c r="D100" s="98"/>
      <c r="E100" s="98"/>
      <c r="F100" s="576"/>
      <c r="G100" s="576"/>
      <c r="H100" s="576"/>
      <c r="I100" s="576"/>
      <c r="J100" s="576"/>
      <c r="K100" s="576"/>
      <c r="L100" s="576"/>
      <c r="M100" s="576"/>
      <c r="N100" s="576"/>
      <c r="O100" s="576"/>
      <c r="P100" s="576"/>
      <c r="Q100" s="576"/>
      <c r="R100" s="576"/>
      <c r="S100" s="576"/>
      <c r="T100" s="576"/>
      <c r="U100" s="576"/>
      <c r="V100" s="576"/>
      <c r="W100" s="576"/>
      <c r="X100" s="576"/>
      <c r="Y100" s="576"/>
      <c r="Z100" s="576"/>
      <c r="AA100" s="576"/>
      <c r="AB100" s="576"/>
      <c r="AC100" s="576"/>
      <c r="AD100" s="576"/>
      <c r="AE100" s="576"/>
      <c r="AF100" s="576"/>
      <c r="AG100" s="576"/>
      <c r="AH100" s="576"/>
      <c r="AI100" s="576"/>
      <c r="AJ100" s="576"/>
      <c r="AK100" s="576"/>
      <c r="AL100" s="576"/>
      <c r="AM100" s="576"/>
      <c r="AN100" s="576"/>
      <c r="AO100" s="576"/>
      <c r="AP100" s="576"/>
      <c r="AQ100" s="576"/>
      <c r="AR100" s="576"/>
      <c r="AS100" s="576"/>
      <c r="AT100" s="98"/>
      <c r="AU100" s="98"/>
      <c r="AV100" s="98"/>
      <c r="AW100" s="98"/>
      <c r="AX100" s="98"/>
      <c r="AY100" s="98"/>
      <c r="AZ100" s="576"/>
      <c r="BA100" s="576"/>
      <c r="BB100" s="576"/>
      <c r="BC100" s="576"/>
      <c r="BD100" s="576"/>
      <c r="BE100" s="576"/>
      <c r="BF100" s="576"/>
      <c r="BG100" s="576"/>
      <c r="BH100" s="576"/>
      <c r="BI100" s="576"/>
      <c r="BJ100" s="576"/>
      <c r="BK100" s="576"/>
      <c r="BL100" s="576"/>
      <c r="BM100" s="576"/>
      <c r="BN100" s="576"/>
      <c r="BO100" s="576"/>
      <c r="BP100" s="576"/>
      <c r="BQ100" s="576"/>
      <c r="BR100" s="576"/>
      <c r="BS100" s="576"/>
      <c r="BT100" s="576"/>
      <c r="BU100" s="576"/>
      <c r="BV100" s="576"/>
      <c r="BW100" s="576"/>
      <c r="BX100" s="577"/>
    </row>
    <row r="101" spans="1:76" x14ac:dyDescent="0.2">
      <c r="A101" s="576"/>
      <c r="B101" s="98"/>
      <c r="C101" s="98"/>
      <c r="D101" s="98"/>
      <c r="E101" s="98"/>
      <c r="F101" s="576"/>
      <c r="G101" s="576"/>
      <c r="H101" s="576"/>
      <c r="I101" s="576"/>
      <c r="J101" s="576"/>
      <c r="K101" s="576"/>
      <c r="L101" s="576"/>
      <c r="M101" s="576"/>
      <c r="N101" s="576"/>
      <c r="O101" s="576"/>
      <c r="P101" s="576"/>
      <c r="Q101" s="576"/>
      <c r="R101" s="576"/>
      <c r="S101" s="576"/>
      <c r="T101" s="576"/>
      <c r="U101" s="576"/>
      <c r="V101" s="576"/>
      <c r="W101" s="576"/>
      <c r="X101" s="576"/>
      <c r="Y101" s="576"/>
      <c r="Z101" s="576"/>
      <c r="AA101" s="576"/>
      <c r="AB101" s="576"/>
      <c r="AC101" s="576"/>
      <c r="AD101" s="576"/>
      <c r="AE101" s="576"/>
      <c r="AF101" s="576"/>
      <c r="AG101" s="576"/>
      <c r="AH101" s="576"/>
      <c r="AI101" s="576"/>
      <c r="AJ101" s="576"/>
      <c r="AK101" s="576"/>
      <c r="AL101" s="576"/>
      <c r="AM101" s="576"/>
      <c r="AN101" s="576"/>
      <c r="AO101" s="576"/>
      <c r="AP101" s="576"/>
      <c r="AQ101" s="576"/>
      <c r="AR101" s="576"/>
      <c r="AS101" s="576"/>
      <c r="AT101" s="98"/>
      <c r="AU101" s="98"/>
      <c r="AV101" s="98"/>
      <c r="AW101" s="98"/>
      <c r="AX101" s="98"/>
      <c r="AY101" s="98"/>
      <c r="AZ101" s="576"/>
      <c r="BA101" s="576"/>
      <c r="BB101" s="576"/>
      <c r="BC101" s="576"/>
      <c r="BD101" s="576"/>
      <c r="BE101" s="576"/>
      <c r="BF101" s="576"/>
      <c r="BG101" s="576"/>
      <c r="BH101" s="576"/>
      <c r="BI101" s="576"/>
      <c r="BJ101" s="576"/>
      <c r="BK101" s="576"/>
      <c r="BL101" s="576"/>
      <c r="BM101" s="576"/>
      <c r="BN101" s="576"/>
      <c r="BO101" s="576"/>
      <c r="BP101" s="576"/>
      <c r="BQ101" s="576"/>
      <c r="BR101" s="576"/>
      <c r="BS101" s="576"/>
      <c r="BT101" s="576"/>
      <c r="BU101" s="576"/>
      <c r="BV101" s="576"/>
      <c r="BW101" s="576"/>
      <c r="BX101" s="577"/>
    </row>
    <row r="102" spans="1:76" x14ac:dyDescent="0.2">
      <c r="A102" s="576"/>
      <c r="B102" s="98"/>
      <c r="C102" s="98"/>
      <c r="D102" s="98"/>
      <c r="E102" s="98"/>
      <c r="F102" s="576"/>
      <c r="G102" s="576"/>
      <c r="H102" s="576"/>
      <c r="I102" s="576"/>
      <c r="J102" s="576"/>
      <c r="K102" s="576"/>
      <c r="L102" s="576"/>
      <c r="M102" s="576"/>
      <c r="N102" s="576"/>
      <c r="O102" s="576"/>
      <c r="P102" s="576"/>
      <c r="Q102" s="576"/>
      <c r="R102" s="576"/>
      <c r="S102" s="576"/>
      <c r="T102" s="576"/>
      <c r="U102" s="576"/>
      <c r="V102" s="576"/>
      <c r="W102" s="576"/>
      <c r="X102" s="576"/>
      <c r="Y102" s="576"/>
      <c r="Z102" s="576"/>
      <c r="AA102" s="576"/>
      <c r="AB102" s="576"/>
      <c r="AC102" s="576"/>
      <c r="AD102" s="576"/>
      <c r="AE102" s="576"/>
      <c r="AF102" s="576"/>
      <c r="AG102" s="576"/>
      <c r="AH102" s="576"/>
      <c r="AI102" s="576"/>
      <c r="AJ102" s="576"/>
      <c r="AK102" s="576"/>
      <c r="AL102" s="576"/>
      <c r="AM102" s="576"/>
      <c r="AN102" s="576"/>
      <c r="AO102" s="576"/>
      <c r="AP102" s="576"/>
      <c r="AQ102" s="576"/>
      <c r="AR102" s="576"/>
      <c r="AS102" s="576"/>
      <c r="AT102" s="98"/>
      <c r="AU102" s="98"/>
      <c r="AV102" s="98"/>
      <c r="AW102" s="98"/>
      <c r="AX102" s="98"/>
      <c r="AY102" s="98"/>
      <c r="AZ102" s="576"/>
      <c r="BA102" s="576"/>
      <c r="BB102" s="576"/>
      <c r="BC102" s="576"/>
      <c r="BD102" s="576"/>
      <c r="BE102" s="576"/>
      <c r="BF102" s="576"/>
      <c r="BG102" s="576"/>
      <c r="BH102" s="576"/>
      <c r="BI102" s="576"/>
      <c r="BJ102" s="576"/>
      <c r="BK102" s="576"/>
      <c r="BL102" s="576"/>
      <c r="BM102" s="576"/>
      <c r="BN102" s="576"/>
      <c r="BO102" s="576"/>
      <c r="BP102" s="576"/>
      <c r="BQ102" s="576"/>
      <c r="BR102" s="576"/>
      <c r="BS102" s="576"/>
      <c r="BT102" s="576"/>
      <c r="BU102" s="576"/>
      <c r="BV102" s="576"/>
      <c r="BW102" s="576"/>
      <c r="BX102" s="577"/>
    </row>
    <row r="103" spans="1:76" x14ac:dyDescent="0.2">
      <c r="A103" s="576"/>
      <c r="B103" s="98"/>
      <c r="C103" s="98"/>
      <c r="D103" s="98"/>
      <c r="E103" s="98"/>
      <c r="F103" s="576"/>
      <c r="G103" s="576"/>
      <c r="H103" s="576"/>
      <c r="I103" s="576"/>
      <c r="J103" s="576"/>
      <c r="K103" s="576"/>
      <c r="L103" s="576"/>
      <c r="M103" s="576"/>
      <c r="N103" s="576"/>
      <c r="O103" s="576"/>
      <c r="P103" s="576"/>
      <c r="Q103" s="576"/>
      <c r="R103" s="576"/>
      <c r="S103" s="576"/>
      <c r="T103" s="576"/>
      <c r="U103" s="576"/>
      <c r="V103" s="576"/>
      <c r="W103" s="576"/>
      <c r="X103" s="576"/>
      <c r="Y103" s="576"/>
      <c r="Z103" s="576"/>
      <c r="AA103" s="576"/>
      <c r="AB103" s="576"/>
      <c r="AC103" s="576"/>
      <c r="AD103" s="576"/>
      <c r="AE103" s="576"/>
      <c r="AF103" s="576"/>
      <c r="AG103" s="576"/>
      <c r="AH103" s="576"/>
      <c r="AI103" s="576"/>
      <c r="AJ103" s="576"/>
      <c r="AK103" s="576"/>
      <c r="AL103" s="576"/>
      <c r="AM103" s="576"/>
      <c r="AN103" s="576"/>
      <c r="AO103" s="576"/>
      <c r="AP103" s="576"/>
      <c r="AQ103" s="576"/>
      <c r="AR103" s="576"/>
      <c r="AS103" s="576"/>
      <c r="AT103" s="98"/>
      <c r="AU103" s="98"/>
      <c r="AV103" s="98"/>
      <c r="AW103" s="98"/>
      <c r="AX103" s="98"/>
      <c r="AY103" s="98"/>
      <c r="AZ103" s="576"/>
      <c r="BA103" s="576"/>
      <c r="BB103" s="576"/>
      <c r="BC103" s="576"/>
      <c r="BD103" s="576"/>
      <c r="BE103" s="576"/>
      <c r="BF103" s="576"/>
      <c r="BG103" s="576"/>
      <c r="BH103" s="576"/>
      <c r="BI103" s="576"/>
      <c r="BJ103" s="576"/>
      <c r="BK103" s="576"/>
      <c r="BL103" s="576"/>
      <c r="BM103" s="576"/>
      <c r="BN103" s="576"/>
      <c r="BO103" s="576"/>
      <c r="BP103" s="576"/>
      <c r="BQ103" s="576"/>
      <c r="BR103" s="576"/>
      <c r="BS103" s="576"/>
      <c r="BT103" s="576"/>
      <c r="BU103" s="576"/>
      <c r="BV103" s="576"/>
      <c r="BW103" s="576"/>
      <c r="BX103" s="577"/>
    </row>
    <row r="104" spans="1:76" x14ac:dyDescent="0.2">
      <c r="A104" s="576"/>
      <c r="B104" s="98"/>
      <c r="C104" s="98"/>
      <c r="D104" s="98"/>
      <c r="E104" s="98"/>
      <c r="F104" s="576"/>
      <c r="G104" s="576"/>
      <c r="H104" s="576"/>
      <c r="I104" s="576"/>
      <c r="J104" s="576"/>
      <c r="K104" s="576"/>
      <c r="L104" s="576"/>
      <c r="M104" s="576"/>
      <c r="N104" s="576"/>
      <c r="O104" s="576"/>
      <c r="P104" s="576"/>
      <c r="Q104" s="576"/>
      <c r="R104" s="576"/>
      <c r="S104" s="576"/>
      <c r="T104" s="576"/>
      <c r="U104" s="576"/>
      <c r="V104" s="576"/>
      <c r="W104" s="576"/>
      <c r="X104" s="576"/>
      <c r="Y104" s="576"/>
      <c r="Z104" s="576"/>
      <c r="AA104" s="576"/>
      <c r="AB104" s="576"/>
      <c r="AC104" s="576"/>
      <c r="AD104" s="576"/>
      <c r="AE104" s="576"/>
      <c r="AF104" s="576"/>
      <c r="AG104" s="576"/>
      <c r="AH104" s="576"/>
      <c r="AI104" s="576"/>
      <c r="AJ104" s="576"/>
      <c r="AK104" s="576"/>
      <c r="AL104" s="576"/>
      <c r="AM104" s="576"/>
      <c r="AN104" s="576"/>
      <c r="AO104" s="576"/>
      <c r="AP104" s="576"/>
      <c r="AQ104" s="576"/>
      <c r="AR104" s="576"/>
      <c r="AS104" s="576"/>
      <c r="AT104" s="98"/>
      <c r="AU104" s="98"/>
      <c r="AV104" s="98"/>
      <c r="AW104" s="98"/>
      <c r="AX104" s="98"/>
      <c r="AY104" s="98"/>
      <c r="AZ104" s="576"/>
      <c r="BA104" s="576"/>
      <c r="BB104" s="576"/>
      <c r="BC104" s="576"/>
      <c r="BD104" s="576"/>
      <c r="BE104" s="576"/>
      <c r="BF104" s="576"/>
      <c r="BG104" s="576"/>
      <c r="BH104" s="576"/>
      <c r="BI104" s="576"/>
      <c r="BJ104" s="576"/>
      <c r="BK104" s="576"/>
      <c r="BL104" s="576"/>
      <c r="BM104" s="576"/>
      <c r="BN104" s="576"/>
      <c r="BO104" s="576"/>
      <c r="BP104" s="576"/>
      <c r="BQ104" s="576"/>
      <c r="BR104" s="576"/>
      <c r="BS104" s="576"/>
      <c r="BT104" s="576"/>
      <c r="BU104" s="576"/>
      <c r="BV104" s="576"/>
      <c r="BW104" s="576"/>
      <c r="BX104" s="577"/>
    </row>
    <row r="105" spans="1:76" x14ac:dyDescent="0.2">
      <c r="A105" s="576"/>
      <c r="B105" s="98"/>
      <c r="C105" s="98"/>
      <c r="D105" s="98"/>
      <c r="E105" s="98"/>
      <c r="F105" s="576"/>
      <c r="G105" s="576"/>
      <c r="H105" s="576"/>
      <c r="I105" s="576"/>
      <c r="J105" s="576"/>
      <c r="K105" s="576"/>
      <c r="L105" s="576"/>
      <c r="M105" s="576"/>
      <c r="N105" s="576"/>
      <c r="O105" s="576"/>
      <c r="P105" s="576"/>
      <c r="Q105" s="576"/>
      <c r="R105" s="576"/>
      <c r="S105" s="576"/>
      <c r="T105" s="576"/>
      <c r="U105" s="576"/>
      <c r="V105" s="576"/>
      <c r="W105" s="576"/>
      <c r="X105" s="576"/>
      <c r="Y105" s="576"/>
      <c r="Z105" s="576"/>
      <c r="AA105" s="576"/>
      <c r="AB105" s="576"/>
      <c r="AC105" s="576"/>
      <c r="AD105" s="576"/>
      <c r="AE105" s="576"/>
      <c r="AF105" s="576"/>
      <c r="AG105" s="576"/>
      <c r="AH105" s="576"/>
      <c r="AI105" s="576"/>
      <c r="AJ105" s="576"/>
      <c r="AK105" s="576"/>
      <c r="AL105" s="576"/>
      <c r="AM105" s="576"/>
      <c r="AN105" s="576"/>
      <c r="AO105" s="576"/>
      <c r="AP105" s="576"/>
      <c r="AQ105" s="576"/>
      <c r="AR105" s="576"/>
      <c r="AS105" s="576"/>
      <c r="AT105" s="98"/>
      <c r="AU105" s="98"/>
      <c r="AV105" s="98"/>
      <c r="AW105" s="98"/>
      <c r="AX105" s="98"/>
      <c r="AY105" s="98"/>
      <c r="AZ105" s="576"/>
      <c r="BA105" s="576"/>
      <c r="BB105" s="576"/>
      <c r="BC105" s="576"/>
      <c r="BD105" s="576"/>
      <c r="BE105" s="576"/>
      <c r="BF105" s="576"/>
      <c r="BG105" s="576"/>
      <c r="BH105" s="576"/>
      <c r="BI105" s="576"/>
      <c r="BJ105" s="576"/>
      <c r="BK105" s="576"/>
      <c r="BL105" s="576"/>
      <c r="BM105" s="576"/>
      <c r="BN105" s="576"/>
      <c r="BO105" s="576"/>
      <c r="BP105" s="576"/>
      <c r="BQ105" s="576"/>
      <c r="BR105" s="576"/>
      <c r="BS105" s="576"/>
      <c r="BT105" s="576"/>
      <c r="BU105" s="576"/>
      <c r="BV105" s="576"/>
      <c r="BW105" s="576"/>
      <c r="BX105" s="577"/>
    </row>
    <row r="106" spans="1:76" x14ac:dyDescent="0.2">
      <c r="A106" s="576"/>
      <c r="B106" s="98"/>
      <c r="C106" s="98"/>
      <c r="D106" s="98"/>
      <c r="E106" s="98"/>
      <c r="F106" s="576"/>
      <c r="G106" s="576"/>
      <c r="H106" s="576"/>
      <c r="I106" s="576"/>
      <c r="J106" s="576"/>
      <c r="K106" s="576"/>
      <c r="L106" s="576"/>
      <c r="M106" s="576"/>
      <c r="N106" s="576"/>
      <c r="O106" s="576"/>
      <c r="P106" s="576"/>
      <c r="Q106" s="576"/>
      <c r="R106" s="576"/>
      <c r="S106" s="576"/>
      <c r="T106" s="576"/>
      <c r="U106" s="576"/>
      <c r="V106" s="576"/>
      <c r="W106" s="576"/>
      <c r="X106" s="576"/>
      <c r="Y106" s="576"/>
      <c r="Z106" s="576"/>
      <c r="AA106" s="576"/>
      <c r="AB106" s="576"/>
      <c r="AC106" s="576"/>
      <c r="AD106" s="576"/>
      <c r="AE106" s="576"/>
      <c r="AF106" s="576"/>
      <c r="AG106" s="576"/>
      <c r="AH106" s="576"/>
      <c r="AI106" s="576"/>
      <c r="AJ106" s="576"/>
      <c r="AK106" s="576"/>
      <c r="AL106" s="576"/>
      <c r="AM106" s="576"/>
      <c r="AN106" s="576"/>
      <c r="AO106" s="576"/>
      <c r="AP106" s="576"/>
      <c r="AQ106" s="576"/>
      <c r="AR106" s="576"/>
      <c r="AS106" s="576"/>
      <c r="AT106" s="98"/>
      <c r="AU106" s="98"/>
      <c r="AV106" s="98"/>
      <c r="AW106" s="98"/>
      <c r="AX106" s="98"/>
      <c r="AY106" s="98"/>
      <c r="AZ106" s="576"/>
      <c r="BA106" s="576"/>
      <c r="BB106" s="576"/>
      <c r="BC106" s="576"/>
      <c r="BD106" s="576"/>
      <c r="BE106" s="576"/>
      <c r="BF106" s="576"/>
      <c r="BG106" s="576"/>
      <c r="BH106" s="576"/>
      <c r="BI106" s="576"/>
      <c r="BJ106" s="576"/>
      <c r="BK106" s="576"/>
      <c r="BL106" s="576"/>
      <c r="BM106" s="576"/>
      <c r="BN106" s="576"/>
      <c r="BO106" s="576"/>
      <c r="BP106" s="576"/>
      <c r="BQ106" s="576"/>
      <c r="BR106" s="576"/>
      <c r="BS106" s="576"/>
      <c r="BT106" s="576"/>
      <c r="BU106" s="576"/>
      <c r="BV106" s="576"/>
      <c r="BW106" s="576"/>
      <c r="BX106" s="577"/>
    </row>
    <row r="107" spans="1:76" x14ac:dyDescent="0.2">
      <c r="A107" s="576"/>
      <c r="B107" s="98"/>
      <c r="C107" s="98"/>
      <c r="D107" s="98"/>
      <c r="E107" s="98"/>
      <c r="F107" s="576"/>
      <c r="G107" s="576"/>
      <c r="H107" s="576"/>
      <c r="I107" s="576"/>
      <c r="J107" s="576"/>
      <c r="K107" s="576"/>
      <c r="L107" s="576"/>
      <c r="M107" s="576"/>
      <c r="N107" s="576"/>
      <c r="O107" s="576"/>
      <c r="P107" s="576"/>
      <c r="Q107" s="576"/>
      <c r="R107" s="576"/>
      <c r="S107" s="576"/>
      <c r="T107" s="576"/>
      <c r="U107" s="576"/>
      <c r="V107" s="576"/>
      <c r="W107" s="576"/>
      <c r="X107" s="576"/>
      <c r="Y107" s="576"/>
      <c r="Z107" s="576"/>
      <c r="AA107" s="576"/>
      <c r="AB107" s="576"/>
      <c r="AC107" s="576"/>
      <c r="AD107" s="576"/>
      <c r="AE107" s="576"/>
      <c r="AF107" s="576"/>
      <c r="AG107" s="576"/>
      <c r="AH107" s="576"/>
      <c r="AI107" s="576"/>
      <c r="AJ107" s="576"/>
      <c r="AK107" s="576"/>
      <c r="AL107" s="576"/>
      <c r="AM107" s="576"/>
      <c r="AN107" s="576"/>
      <c r="AO107" s="576"/>
      <c r="AP107" s="576"/>
      <c r="AQ107" s="576"/>
      <c r="AR107" s="576"/>
      <c r="AS107" s="576"/>
      <c r="AT107" s="98"/>
      <c r="AU107" s="98"/>
      <c r="AV107" s="98"/>
      <c r="AW107" s="98"/>
      <c r="AX107" s="98"/>
      <c r="AY107" s="98"/>
      <c r="AZ107" s="576"/>
      <c r="BA107" s="576"/>
      <c r="BB107" s="576"/>
      <c r="BC107" s="576"/>
      <c r="BD107" s="576"/>
      <c r="BE107" s="576"/>
      <c r="BF107" s="576"/>
      <c r="BG107" s="576"/>
      <c r="BH107" s="576"/>
      <c r="BI107" s="576"/>
      <c r="BJ107" s="576"/>
      <c r="BK107" s="576"/>
      <c r="BL107" s="576"/>
      <c r="BM107" s="576"/>
      <c r="BN107" s="576"/>
      <c r="BO107" s="576"/>
      <c r="BP107" s="576"/>
      <c r="BQ107" s="576"/>
      <c r="BR107" s="576"/>
      <c r="BS107" s="576"/>
      <c r="BT107" s="576"/>
      <c r="BU107" s="576"/>
      <c r="BV107" s="576"/>
      <c r="BW107" s="576"/>
      <c r="BX107" s="577"/>
    </row>
    <row r="108" spans="1:76" x14ac:dyDescent="0.2">
      <c r="A108" s="576"/>
      <c r="B108" s="98"/>
      <c r="C108" s="98"/>
      <c r="D108" s="98"/>
      <c r="E108" s="98"/>
      <c r="F108" s="576"/>
      <c r="G108" s="576"/>
      <c r="H108" s="576"/>
      <c r="I108" s="576"/>
      <c r="J108" s="576"/>
      <c r="K108" s="576"/>
      <c r="L108" s="576"/>
      <c r="M108" s="576"/>
      <c r="N108" s="576"/>
      <c r="O108" s="576"/>
      <c r="P108" s="576"/>
      <c r="Q108" s="576"/>
      <c r="R108" s="576"/>
      <c r="S108" s="576"/>
      <c r="T108" s="576"/>
      <c r="U108" s="576"/>
      <c r="V108" s="576"/>
      <c r="W108" s="576"/>
      <c r="X108" s="576"/>
      <c r="Y108" s="576"/>
      <c r="Z108" s="576"/>
      <c r="AA108" s="576"/>
      <c r="AB108" s="576"/>
      <c r="AC108" s="576"/>
      <c r="AD108" s="576"/>
      <c r="AE108" s="576"/>
      <c r="AF108" s="576"/>
      <c r="AG108" s="576"/>
      <c r="AH108" s="576"/>
      <c r="AI108" s="576"/>
      <c r="AJ108" s="576"/>
      <c r="AK108" s="576"/>
      <c r="AL108" s="576"/>
      <c r="AM108" s="576"/>
      <c r="AN108" s="576"/>
      <c r="AO108" s="576"/>
      <c r="AP108" s="576"/>
      <c r="AQ108" s="576"/>
      <c r="AR108" s="576"/>
      <c r="AS108" s="576"/>
      <c r="AT108" s="98"/>
      <c r="AU108" s="98"/>
      <c r="AV108" s="98"/>
      <c r="AW108" s="98"/>
      <c r="AX108" s="98"/>
      <c r="AY108" s="98"/>
      <c r="AZ108" s="576"/>
      <c r="BA108" s="576"/>
      <c r="BB108" s="576"/>
      <c r="BC108" s="576"/>
      <c r="BD108" s="576"/>
      <c r="BE108" s="576"/>
      <c r="BF108" s="576"/>
      <c r="BG108" s="576"/>
      <c r="BH108" s="576"/>
      <c r="BI108" s="576"/>
      <c r="BJ108" s="576"/>
      <c r="BK108" s="576"/>
      <c r="BL108" s="576"/>
      <c r="BM108" s="576"/>
      <c r="BN108" s="576"/>
      <c r="BO108" s="576"/>
      <c r="BP108" s="576"/>
      <c r="BQ108" s="576"/>
      <c r="BR108" s="576"/>
      <c r="BS108" s="576"/>
      <c r="BT108" s="576"/>
      <c r="BU108" s="576"/>
      <c r="BV108" s="576"/>
      <c r="BW108" s="576"/>
      <c r="BX108" s="577"/>
    </row>
    <row r="109" spans="1:76" x14ac:dyDescent="0.2">
      <c r="A109" s="576"/>
      <c r="B109" s="98"/>
      <c r="C109" s="98"/>
      <c r="D109" s="98"/>
      <c r="E109" s="98"/>
      <c r="F109" s="576"/>
      <c r="G109" s="576"/>
      <c r="H109" s="576"/>
      <c r="I109" s="576"/>
      <c r="J109" s="576"/>
      <c r="K109" s="576"/>
      <c r="L109" s="576"/>
      <c r="M109" s="576"/>
      <c r="N109" s="576"/>
      <c r="O109" s="576"/>
      <c r="P109" s="576"/>
      <c r="Q109" s="576"/>
      <c r="R109" s="576"/>
      <c r="S109" s="576"/>
      <c r="T109" s="576"/>
      <c r="U109" s="576"/>
      <c r="V109" s="576"/>
      <c r="W109" s="576"/>
      <c r="X109" s="576"/>
      <c r="Y109" s="576"/>
      <c r="Z109" s="576"/>
      <c r="AA109" s="576"/>
      <c r="AB109" s="576"/>
      <c r="AC109" s="576"/>
      <c r="AD109" s="576"/>
      <c r="AE109" s="576"/>
      <c r="AF109" s="576"/>
      <c r="AG109" s="576"/>
      <c r="AH109" s="576"/>
      <c r="AI109" s="576"/>
      <c r="AJ109" s="576"/>
      <c r="AK109" s="576"/>
      <c r="AL109" s="576"/>
      <c r="AM109" s="576"/>
      <c r="AN109" s="576"/>
      <c r="AO109" s="576"/>
      <c r="AP109" s="576"/>
      <c r="AQ109" s="576"/>
      <c r="AR109" s="576"/>
      <c r="AS109" s="576"/>
      <c r="AT109" s="98"/>
      <c r="AU109" s="98"/>
      <c r="AV109" s="98"/>
      <c r="AW109" s="98"/>
      <c r="AX109" s="98"/>
      <c r="AY109" s="98"/>
      <c r="AZ109" s="576"/>
      <c r="BA109" s="576"/>
      <c r="BB109" s="576"/>
      <c r="BC109" s="576"/>
      <c r="BD109" s="576"/>
      <c r="BE109" s="576"/>
      <c r="BF109" s="576"/>
      <c r="BG109" s="576"/>
      <c r="BH109" s="576"/>
      <c r="BI109" s="576"/>
      <c r="BJ109" s="576"/>
      <c r="BK109" s="576"/>
      <c r="BL109" s="576"/>
      <c r="BM109" s="576"/>
      <c r="BN109" s="576"/>
      <c r="BO109" s="576"/>
      <c r="BP109" s="576"/>
      <c r="BQ109" s="576"/>
      <c r="BR109" s="576"/>
      <c r="BS109" s="576"/>
      <c r="BT109" s="576"/>
      <c r="BU109" s="576"/>
      <c r="BV109" s="576"/>
      <c r="BW109" s="576"/>
      <c r="BX109" s="577"/>
    </row>
    <row r="110" spans="1:76" x14ac:dyDescent="0.2">
      <c r="A110" s="576"/>
      <c r="B110" s="98"/>
      <c r="C110" s="98"/>
      <c r="D110" s="98"/>
      <c r="E110" s="98"/>
      <c r="F110" s="576"/>
      <c r="G110" s="576"/>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76"/>
      <c r="AL110" s="576"/>
      <c r="AM110" s="576"/>
      <c r="AN110" s="576"/>
      <c r="AO110" s="576"/>
      <c r="AP110" s="576"/>
      <c r="AQ110" s="576"/>
      <c r="AR110" s="576"/>
      <c r="AS110" s="576"/>
      <c r="AT110" s="98"/>
      <c r="AU110" s="98"/>
      <c r="AV110" s="98"/>
      <c r="AW110" s="98"/>
      <c r="AX110" s="98"/>
      <c r="AY110" s="98"/>
      <c r="AZ110" s="576"/>
      <c r="BA110" s="576"/>
      <c r="BB110" s="576"/>
      <c r="BC110" s="576"/>
      <c r="BD110" s="576"/>
      <c r="BE110" s="576"/>
      <c r="BF110" s="576"/>
      <c r="BG110" s="576"/>
      <c r="BH110" s="576"/>
      <c r="BI110" s="576"/>
      <c r="BJ110" s="576"/>
      <c r="BK110" s="576"/>
      <c r="BL110" s="576"/>
      <c r="BM110" s="576"/>
      <c r="BN110" s="576"/>
      <c r="BO110" s="576"/>
      <c r="BP110" s="576"/>
      <c r="BQ110" s="576"/>
      <c r="BR110" s="576"/>
      <c r="BS110" s="576"/>
      <c r="BT110" s="576"/>
      <c r="BU110" s="576"/>
      <c r="BV110" s="576"/>
      <c r="BW110" s="576"/>
      <c r="BX110" s="577"/>
    </row>
    <row r="111" spans="1:76" x14ac:dyDescent="0.2">
      <c r="A111" s="576"/>
      <c r="B111" s="98"/>
      <c r="C111" s="98"/>
      <c r="D111" s="98"/>
      <c r="E111" s="98"/>
      <c r="F111" s="576"/>
      <c r="G111" s="576"/>
      <c r="H111" s="576"/>
      <c r="I111" s="576"/>
      <c r="J111" s="576"/>
      <c r="K111" s="576"/>
      <c r="L111" s="576"/>
      <c r="M111" s="576"/>
      <c r="N111" s="576"/>
      <c r="O111" s="576"/>
      <c r="P111" s="576"/>
      <c r="Q111" s="576"/>
      <c r="R111" s="576"/>
      <c r="S111" s="576"/>
      <c r="T111" s="576"/>
      <c r="U111" s="576"/>
      <c r="V111" s="576"/>
      <c r="W111" s="576"/>
      <c r="X111" s="576"/>
      <c r="Y111" s="576"/>
      <c r="Z111" s="576"/>
      <c r="AA111" s="576"/>
      <c r="AB111" s="576"/>
      <c r="AC111" s="576"/>
      <c r="AD111" s="576"/>
      <c r="AE111" s="576"/>
      <c r="AF111" s="576"/>
      <c r="AG111" s="576"/>
      <c r="AH111" s="576"/>
      <c r="AI111" s="576"/>
      <c r="AJ111" s="576"/>
      <c r="AK111" s="576"/>
      <c r="AL111" s="576"/>
      <c r="AM111" s="576"/>
      <c r="AN111" s="576"/>
      <c r="AO111" s="576"/>
      <c r="AP111" s="576"/>
      <c r="AQ111" s="576"/>
      <c r="AR111" s="576"/>
      <c r="AS111" s="576"/>
      <c r="AT111" s="98"/>
      <c r="AU111" s="98"/>
      <c r="AV111" s="98"/>
      <c r="AW111" s="98"/>
      <c r="AX111" s="98"/>
      <c r="AY111" s="98"/>
      <c r="AZ111" s="576"/>
      <c r="BA111" s="576"/>
      <c r="BB111" s="576"/>
      <c r="BC111" s="576"/>
      <c r="BD111" s="576"/>
      <c r="BE111" s="576"/>
      <c r="BF111" s="576"/>
      <c r="BG111" s="576"/>
      <c r="BH111" s="576"/>
      <c r="BI111" s="576"/>
      <c r="BJ111" s="576"/>
      <c r="BK111" s="576"/>
      <c r="BL111" s="576"/>
      <c r="BM111" s="576"/>
      <c r="BN111" s="576"/>
      <c r="BO111" s="576"/>
      <c r="BP111" s="576"/>
      <c r="BQ111" s="576"/>
      <c r="BR111" s="576"/>
      <c r="BS111" s="576"/>
      <c r="BT111" s="576"/>
      <c r="BU111" s="576"/>
      <c r="BV111" s="576"/>
      <c r="BW111" s="576"/>
      <c r="BX111" s="577"/>
    </row>
    <row r="112" spans="1:76" x14ac:dyDescent="0.2">
      <c r="A112" s="576"/>
      <c r="B112" s="98"/>
      <c r="C112" s="98"/>
      <c r="D112" s="98"/>
      <c r="E112" s="98"/>
      <c r="F112" s="576"/>
      <c r="G112" s="576"/>
      <c r="H112" s="576"/>
      <c r="I112" s="576"/>
      <c r="J112" s="576"/>
      <c r="K112" s="576"/>
      <c r="L112" s="576"/>
      <c r="M112" s="576"/>
      <c r="N112" s="576"/>
      <c r="O112" s="576"/>
      <c r="P112" s="576"/>
      <c r="Q112" s="576"/>
      <c r="R112" s="576"/>
      <c r="S112" s="576"/>
      <c r="T112" s="576"/>
      <c r="U112" s="576"/>
      <c r="V112" s="576"/>
      <c r="W112" s="576"/>
      <c r="X112" s="576"/>
      <c r="Y112" s="576"/>
      <c r="Z112" s="576"/>
      <c r="AA112" s="576"/>
      <c r="AB112" s="576"/>
      <c r="AC112" s="576"/>
      <c r="AD112" s="576"/>
      <c r="AE112" s="576"/>
      <c r="AF112" s="576"/>
      <c r="AG112" s="576"/>
      <c r="AH112" s="576"/>
      <c r="AI112" s="576"/>
      <c r="AJ112" s="576"/>
      <c r="AK112" s="576"/>
      <c r="AL112" s="576"/>
      <c r="AM112" s="576"/>
      <c r="AN112" s="576"/>
      <c r="AO112" s="576"/>
      <c r="AP112" s="576"/>
      <c r="AQ112" s="576"/>
      <c r="AR112" s="576"/>
      <c r="AS112" s="576"/>
      <c r="AT112" s="98"/>
      <c r="AU112" s="98"/>
      <c r="AV112" s="98"/>
      <c r="AW112" s="98"/>
      <c r="AX112" s="98"/>
      <c r="AY112" s="98"/>
      <c r="AZ112" s="576"/>
      <c r="BA112" s="576"/>
      <c r="BB112" s="576"/>
      <c r="BC112" s="576"/>
      <c r="BD112" s="576"/>
      <c r="BE112" s="576"/>
      <c r="BF112" s="576"/>
      <c r="BG112" s="576"/>
      <c r="BH112" s="576"/>
      <c r="BI112" s="576"/>
      <c r="BJ112" s="576"/>
      <c r="BK112" s="576"/>
      <c r="BL112" s="576"/>
      <c r="BM112" s="576"/>
      <c r="BN112" s="576"/>
      <c r="BO112" s="576"/>
      <c r="BP112" s="576"/>
      <c r="BQ112" s="576"/>
      <c r="BR112" s="576"/>
      <c r="BS112" s="576"/>
      <c r="BT112" s="576"/>
      <c r="BU112" s="576"/>
      <c r="BV112" s="576"/>
      <c r="BW112" s="576"/>
      <c r="BX112" s="577"/>
    </row>
    <row r="113" spans="1:76" x14ac:dyDescent="0.2">
      <c r="A113" s="576"/>
      <c r="B113" s="98"/>
      <c r="C113" s="98"/>
      <c r="D113" s="98"/>
      <c r="E113" s="98"/>
      <c r="F113" s="576"/>
      <c r="G113" s="576"/>
      <c r="H113" s="576"/>
      <c r="I113" s="576"/>
      <c r="J113" s="576"/>
      <c r="K113" s="576"/>
      <c r="L113" s="576"/>
      <c r="M113" s="576"/>
      <c r="N113" s="576"/>
      <c r="O113" s="576"/>
      <c r="P113" s="576"/>
      <c r="Q113" s="576"/>
      <c r="R113" s="576"/>
      <c r="S113" s="576"/>
      <c r="T113" s="576"/>
      <c r="U113" s="576"/>
      <c r="V113" s="576"/>
      <c r="W113" s="576"/>
      <c r="X113" s="576"/>
      <c r="Y113" s="576"/>
      <c r="Z113" s="576"/>
      <c r="AA113" s="576"/>
      <c r="AB113" s="576"/>
      <c r="AC113" s="576"/>
      <c r="AD113" s="576"/>
      <c r="AE113" s="576"/>
      <c r="AF113" s="576"/>
      <c r="AG113" s="576"/>
      <c r="AH113" s="576"/>
      <c r="AI113" s="576"/>
      <c r="AJ113" s="576"/>
      <c r="AK113" s="576"/>
      <c r="AL113" s="576"/>
      <c r="AM113" s="576"/>
      <c r="AN113" s="576"/>
      <c r="AO113" s="576"/>
      <c r="AP113" s="576"/>
      <c r="AQ113" s="576"/>
      <c r="AR113" s="576"/>
      <c r="AS113" s="576"/>
      <c r="AT113" s="98"/>
      <c r="AU113" s="98"/>
      <c r="AV113" s="98"/>
      <c r="AW113" s="98"/>
      <c r="AX113" s="98"/>
      <c r="AY113" s="98"/>
      <c r="AZ113" s="576"/>
      <c r="BA113" s="576"/>
      <c r="BB113" s="576"/>
      <c r="BC113" s="576"/>
      <c r="BD113" s="576"/>
      <c r="BE113" s="576"/>
      <c r="BF113" s="576"/>
      <c r="BG113" s="576"/>
      <c r="BH113" s="576"/>
      <c r="BI113" s="576"/>
      <c r="BJ113" s="576"/>
      <c r="BK113" s="576"/>
      <c r="BL113" s="576"/>
      <c r="BM113" s="576"/>
      <c r="BN113" s="576"/>
      <c r="BO113" s="576"/>
      <c r="BP113" s="576"/>
      <c r="BQ113" s="576"/>
      <c r="BR113" s="576"/>
      <c r="BS113" s="576"/>
      <c r="BT113" s="576"/>
      <c r="BU113" s="576"/>
      <c r="BV113" s="576"/>
      <c r="BW113" s="576"/>
      <c r="BX113" s="577"/>
    </row>
    <row r="114" spans="1:76" x14ac:dyDescent="0.2">
      <c r="A114" s="576"/>
      <c r="B114" s="98"/>
      <c r="C114" s="98"/>
      <c r="D114" s="98"/>
      <c r="E114" s="98"/>
      <c r="F114" s="576"/>
      <c r="G114" s="576"/>
      <c r="H114" s="576"/>
      <c r="I114" s="576"/>
      <c r="J114" s="576"/>
      <c r="K114" s="576"/>
      <c r="L114" s="576"/>
      <c r="M114" s="576"/>
      <c r="N114" s="576"/>
      <c r="O114" s="576"/>
      <c r="P114" s="576"/>
      <c r="Q114" s="576"/>
      <c r="R114" s="576"/>
      <c r="S114" s="576"/>
      <c r="T114" s="576"/>
      <c r="U114" s="576"/>
      <c r="V114" s="576"/>
      <c r="W114" s="576"/>
      <c r="X114" s="576"/>
      <c r="Y114" s="576"/>
      <c r="Z114" s="576"/>
      <c r="AA114" s="576"/>
      <c r="AB114" s="576"/>
      <c r="AC114" s="576"/>
      <c r="AD114" s="576"/>
      <c r="AE114" s="576"/>
      <c r="AF114" s="576"/>
      <c r="AG114" s="576"/>
      <c r="AH114" s="576"/>
      <c r="AI114" s="576"/>
      <c r="AJ114" s="576"/>
      <c r="AK114" s="576"/>
      <c r="AL114" s="576"/>
      <c r="AM114" s="576"/>
      <c r="AN114" s="576"/>
      <c r="AO114" s="576"/>
      <c r="AP114" s="576"/>
      <c r="AQ114" s="576"/>
      <c r="AR114" s="576"/>
      <c r="AS114" s="576"/>
      <c r="AT114" s="98"/>
      <c r="AU114" s="98"/>
      <c r="AV114" s="98"/>
      <c r="AW114" s="98"/>
      <c r="AX114" s="98"/>
      <c r="AY114" s="98"/>
      <c r="AZ114" s="576"/>
      <c r="BA114" s="576"/>
      <c r="BB114" s="576"/>
      <c r="BC114" s="576"/>
      <c r="BD114" s="576"/>
      <c r="BE114" s="576"/>
      <c r="BF114" s="576"/>
      <c r="BG114" s="576"/>
      <c r="BH114" s="576"/>
      <c r="BI114" s="576"/>
      <c r="BJ114" s="576"/>
      <c r="BK114" s="576"/>
      <c r="BL114" s="576"/>
      <c r="BM114" s="576"/>
      <c r="BN114" s="576"/>
      <c r="BO114" s="576"/>
      <c r="BP114" s="576"/>
      <c r="BQ114" s="576"/>
      <c r="BR114" s="576"/>
      <c r="BS114" s="576"/>
      <c r="BT114" s="576"/>
      <c r="BU114" s="576"/>
      <c r="BV114" s="576"/>
      <c r="BW114" s="576"/>
      <c r="BX114" s="577"/>
    </row>
    <row r="115" spans="1:76" x14ac:dyDescent="0.2">
      <c r="A115" s="576"/>
      <c r="B115" s="98"/>
      <c r="C115" s="98"/>
      <c r="D115" s="98"/>
      <c r="E115" s="98"/>
      <c r="F115" s="576"/>
      <c r="G115" s="576"/>
      <c r="H115" s="576"/>
      <c r="I115" s="576"/>
      <c r="J115" s="576"/>
      <c r="K115" s="576"/>
      <c r="L115" s="576"/>
      <c r="M115" s="576"/>
      <c r="N115" s="576"/>
      <c r="O115" s="576"/>
      <c r="P115" s="576"/>
      <c r="Q115" s="576"/>
      <c r="R115" s="576"/>
      <c r="S115" s="576"/>
      <c r="T115" s="576"/>
      <c r="U115" s="576"/>
      <c r="V115" s="576"/>
      <c r="W115" s="576"/>
      <c r="X115" s="576"/>
      <c r="Y115" s="576"/>
      <c r="Z115" s="576"/>
      <c r="AA115" s="576"/>
      <c r="AB115" s="576"/>
      <c r="AC115" s="576"/>
      <c r="AD115" s="576"/>
      <c r="AE115" s="576"/>
      <c r="AF115" s="576"/>
      <c r="AG115" s="576"/>
      <c r="AH115" s="576"/>
      <c r="AI115" s="576"/>
      <c r="AJ115" s="576"/>
      <c r="AK115" s="576"/>
      <c r="AL115" s="576"/>
      <c r="AM115" s="576"/>
      <c r="AN115" s="576"/>
      <c r="AO115" s="576"/>
      <c r="AP115" s="576"/>
      <c r="AQ115" s="576"/>
      <c r="AR115" s="576"/>
      <c r="AS115" s="576"/>
      <c r="AT115" s="98"/>
      <c r="AU115" s="98"/>
      <c r="AV115" s="98"/>
      <c r="AW115" s="98"/>
      <c r="AX115" s="98"/>
      <c r="AY115" s="98"/>
      <c r="AZ115" s="576"/>
      <c r="BA115" s="576"/>
      <c r="BB115" s="576"/>
      <c r="BC115" s="576"/>
      <c r="BD115" s="576"/>
      <c r="BE115" s="576"/>
      <c r="BF115" s="576"/>
      <c r="BG115" s="576"/>
      <c r="BH115" s="576"/>
      <c r="BI115" s="576"/>
      <c r="BJ115" s="576"/>
      <c r="BK115" s="576"/>
      <c r="BL115" s="576"/>
      <c r="BM115" s="576"/>
      <c r="BN115" s="576"/>
      <c r="BO115" s="576"/>
      <c r="BP115" s="576"/>
      <c r="BQ115" s="576"/>
      <c r="BR115" s="576"/>
      <c r="BS115" s="576"/>
      <c r="BT115" s="576"/>
      <c r="BU115" s="576"/>
      <c r="BV115" s="576"/>
      <c r="BW115" s="576"/>
      <c r="BX115" s="577"/>
    </row>
    <row r="116" spans="1:76" x14ac:dyDescent="0.2">
      <c r="A116" s="576"/>
      <c r="B116" s="98"/>
      <c r="C116" s="98"/>
      <c r="D116" s="98"/>
      <c r="E116" s="98"/>
      <c r="F116" s="576"/>
      <c r="G116" s="576"/>
      <c r="H116" s="576"/>
      <c r="I116" s="576"/>
      <c r="J116" s="576"/>
      <c r="K116" s="576"/>
      <c r="L116" s="576"/>
      <c r="M116" s="576"/>
      <c r="N116" s="576"/>
      <c r="O116" s="576"/>
      <c r="P116" s="576"/>
      <c r="Q116" s="576"/>
      <c r="R116" s="576"/>
      <c r="S116" s="576"/>
      <c r="T116" s="576"/>
      <c r="U116" s="576"/>
      <c r="V116" s="576"/>
      <c r="W116" s="576"/>
      <c r="X116" s="576"/>
      <c r="Y116" s="576"/>
      <c r="Z116" s="576"/>
      <c r="AA116" s="576"/>
      <c r="AB116" s="576"/>
      <c r="AC116" s="576"/>
      <c r="AD116" s="576"/>
      <c r="AE116" s="576"/>
      <c r="AF116" s="576"/>
      <c r="AG116" s="576"/>
      <c r="AH116" s="576"/>
      <c r="AI116" s="576"/>
      <c r="AJ116" s="576"/>
      <c r="AK116" s="576"/>
      <c r="AL116" s="576"/>
      <c r="AM116" s="576"/>
      <c r="AN116" s="576"/>
      <c r="AO116" s="576"/>
      <c r="AP116" s="576"/>
      <c r="AQ116" s="576"/>
      <c r="AR116" s="576"/>
      <c r="AS116" s="576"/>
      <c r="AT116" s="98"/>
      <c r="AU116" s="98"/>
      <c r="AV116" s="98"/>
      <c r="AW116" s="98"/>
      <c r="AX116" s="98"/>
      <c r="AY116" s="98"/>
      <c r="AZ116" s="576"/>
      <c r="BA116" s="576"/>
      <c r="BB116" s="576"/>
      <c r="BC116" s="576"/>
      <c r="BD116" s="576"/>
      <c r="BE116" s="576"/>
      <c r="BF116" s="576"/>
      <c r="BG116" s="576"/>
      <c r="BH116" s="576"/>
      <c r="BI116" s="576"/>
      <c r="BJ116" s="576"/>
      <c r="BK116" s="576"/>
      <c r="BL116" s="576"/>
      <c r="BM116" s="576"/>
      <c r="BN116" s="576"/>
      <c r="BO116" s="576"/>
      <c r="BP116" s="576"/>
      <c r="BQ116" s="576"/>
      <c r="BR116" s="576"/>
      <c r="BS116" s="576"/>
      <c r="BT116" s="576"/>
      <c r="BU116" s="576"/>
      <c r="BV116" s="576"/>
      <c r="BW116" s="576"/>
      <c r="BX116" s="577"/>
    </row>
    <row r="117" spans="1:76" x14ac:dyDescent="0.2">
      <c r="A117" s="576"/>
      <c r="B117" s="98"/>
      <c r="C117" s="98"/>
      <c r="D117" s="98"/>
      <c r="E117" s="98"/>
      <c r="F117" s="576"/>
      <c r="G117" s="576"/>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76"/>
      <c r="AL117" s="576"/>
      <c r="AM117" s="576"/>
      <c r="AN117" s="576"/>
      <c r="AO117" s="576"/>
      <c r="AP117" s="576"/>
      <c r="AQ117" s="576"/>
      <c r="AR117" s="576"/>
      <c r="AS117" s="576"/>
      <c r="AT117" s="98"/>
      <c r="AU117" s="98"/>
      <c r="AV117" s="98"/>
      <c r="AW117" s="98"/>
      <c r="AX117" s="98"/>
      <c r="AY117" s="98"/>
      <c r="AZ117" s="576"/>
      <c r="BA117" s="576"/>
      <c r="BB117" s="576"/>
      <c r="BC117" s="576"/>
      <c r="BD117" s="576"/>
      <c r="BE117" s="576"/>
      <c r="BF117" s="576"/>
      <c r="BG117" s="576"/>
      <c r="BH117" s="576"/>
      <c r="BI117" s="576"/>
      <c r="BJ117" s="576"/>
      <c r="BK117" s="576"/>
      <c r="BL117" s="576"/>
      <c r="BM117" s="576"/>
      <c r="BN117" s="576"/>
      <c r="BO117" s="576"/>
      <c r="BP117" s="576"/>
      <c r="BQ117" s="576"/>
      <c r="BR117" s="576"/>
      <c r="BS117" s="576"/>
      <c r="BT117" s="576"/>
      <c r="BU117" s="576"/>
      <c r="BV117" s="576"/>
      <c r="BW117" s="576"/>
      <c r="BX117" s="577"/>
    </row>
    <row r="118" spans="1:76" x14ac:dyDescent="0.2">
      <c r="A118" s="576"/>
      <c r="B118" s="98"/>
      <c r="C118" s="98"/>
      <c r="D118" s="98"/>
      <c r="E118" s="98"/>
      <c r="F118" s="576"/>
      <c r="G118" s="576"/>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76"/>
      <c r="AL118" s="576"/>
      <c r="AM118" s="576"/>
      <c r="AN118" s="576"/>
      <c r="AO118" s="576"/>
      <c r="AP118" s="576"/>
      <c r="AQ118" s="576"/>
      <c r="AR118" s="576"/>
      <c r="AS118" s="576"/>
      <c r="AT118" s="98"/>
      <c r="AU118" s="98"/>
      <c r="AV118" s="98"/>
      <c r="AW118" s="98"/>
      <c r="AX118" s="98"/>
      <c r="AY118" s="98"/>
      <c r="AZ118" s="576"/>
      <c r="BA118" s="576"/>
      <c r="BB118" s="576"/>
      <c r="BC118" s="576"/>
      <c r="BD118" s="576"/>
      <c r="BE118" s="576"/>
      <c r="BF118" s="576"/>
      <c r="BG118" s="576"/>
      <c r="BH118" s="576"/>
      <c r="BI118" s="576"/>
      <c r="BJ118" s="576"/>
      <c r="BK118" s="576"/>
      <c r="BL118" s="576"/>
      <c r="BM118" s="576"/>
      <c r="BN118" s="576"/>
      <c r="BO118" s="576"/>
      <c r="BP118" s="576"/>
      <c r="BQ118" s="576"/>
      <c r="BR118" s="576"/>
      <c r="BS118" s="576"/>
      <c r="BT118" s="576"/>
      <c r="BU118" s="576"/>
      <c r="BV118" s="576"/>
      <c r="BW118" s="576"/>
      <c r="BX118" s="577"/>
    </row>
    <row r="119" spans="1:76" x14ac:dyDescent="0.2">
      <c r="A119" s="576"/>
      <c r="B119" s="98"/>
      <c r="C119" s="98"/>
      <c r="D119" s="98"/>
      <c r="E119" s="98"/>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6"/>
      <c r="AI119" s="576"/>
      <c r="AJ119" s="576"/>
      <c r="AK119" s="576"/>
      <c r="AL119" s="576"/>
      <c r="AM119" s="576"/>
      <c r="AN119" s="576"/>
      <c r="AO119" s="576"/>
      <c r="AP119" s="576"/>
      <c r="AQ119" s="576"/>
      <c r="AR119" s="576"/>
      <c r="AS119" s="576"/>
      <c r="AT119" s="98"/>
      <c r="AU119" s="98"/>
      <c r="AV119" s="98"/>
      <c r="AW119" s="98"/>
      <c r="AX119" s="98"/>
      <c r="AY119" s="98"/>
      <c r="AZ119" s="576"/>
      <c r="BA119" s="576"/>
      <c r="BB119" s="576"/>
      <c r="BC119" s="576"/>
      <c r="BD119" s="576"/>
      <c r="BE119" s="576"/>
      <c r="BF119" s="576"/>
      <c r="BG119" s="576"/>
      <c r="BH119" s="576"/>
      <c r="BI119" s="576"/>
      <c r="BJ119" s="576"/>
      <c r="BK119" s="576"/>
      <c r="BL119" s="576"/>
      <c r="BM119" s="576"/>
      <c r="BN119" s="576"/>
      <c r="BO119" s="576"/>
      <c r="BP119" s="576"/>
      <c r="BQ119" s="576"/>
      <c r="BR119" s="576"/>
      <c r="BS119" s="576"/>
      <c r="BT119" s="576"/>
      <c r="BU119" s="576"/>
      <c r="BV119" s="576"/>
      <c r="BW119" s="576"/>
      <c r="BX119" s="577"/>
    </row>
    <row r="120" spans="1:76" x14ac:dyDescent="0.2">
      <c r="A120" s="576"/>
      <c r="B120" s="98"/>
      <c r="C120" s="98"/>
      <c r="D120" s="98"/>
      <c r="E120" s="98"/>
      <c r="F120" s="576"/>
      <c r="G120" s="576"/>
      <c r="H120" s="576"/>
      <c r="I120" s="576"/>
      <c r="J120" s="576"/>
      <c r="K120" s="576"/>
      <c r="L120" s="576"/>
      <c r="M120" s="576"/>
      <c r="N120" s="576"/>
      <c r="O120" s="576"/>
      <c r="P120" s="576"/>
      <c r="Q120" s="576"/>
      <c r="R120" s="576"/>
      <c r="S120" s="576"/>
      <c r="T120" s="576"/>
      <c r="U120" s="576"/>
      <c r="V120" s="576"/>
      <c r="W120" s="576"/>
      <c r="X120" s="576"/>
      <c r="Y120" s="576"/>
      <c r="Z120" s="576"/>
      <c r="AA120" s="576"/>
      <c r="AB120" s="576"/>
      <c r="AC120" s="576"/>
      <c r="AD120" s="576"/>
      <c r="AE120" s="576"/>
      <c r="AF120" s="576"/>
      <c r="AG120" s="576"/>
      <c r="AH120" s="576"/>
      <c r="AI120" s="576"/>
      <c r="AJ120" s="576"/>
      <c r="AK120" s="576"/>
      <c r="AL120" s="576"/>
      <c r="AM120" s="576"/>
      <c r="AN120" s="576"/>
      <c r="AO120" s="576"/>
      <c r="AP120" s="576"/>
      <c r="AQ120" s="576"/>
      <c r="AR120" s="576"/>
      <c r="AS120" s="576"/>
      <c r="AT120" s="98"/>
      <c r="AU120" s="98"/>
      <c r="AV120" s="98"/>
      <c r="AW120" s="98"/>
      <c r="AX120" s="98"/>
      <c r="AY120" s="98"/>
      <c r="AZ120" s="576"/>
      <c r="BA120" s="576"/>
      <c r="BB120" s="576"/>
      <c r="BC120" s="576"/>
      <c r="BD120" s="576"/>
      <c r="BE120" s="576"/>
      <c r="BF120" s="576"/>
      <c r="BG120" s="576"/>
      <c r="BH120" s="576"/>
      <c r="BI120" s="576"/>
      <c r="BJ120" s="576"/>
      <c r="BK120" s="576"/>
      <c r="BL120" s="576"/>
      <c r="BM120" s="576"/>
      <c r="BN120" s="576"/>
      <c r="BO120" s="576"/>
      <c r="BP120" s="576"/>
      <c r="BQ120" s="576"/>
      <c r="BR120" s="576"/>
      <c r="BS120" s="576"/>
      <c r="BT120" s="576"/>
      <c r="BU120" s="576"/>
      <c r="BV120" s="576"/>
      <c r="BW120" s="576"/>
      <c r="BX120" s="577"/>
    </row>
    <row r="121" spans="1:76" x14ac:dyDescent="0.2">
      <c r="A121" s="576"/>
      <c r="B121" s="98"/>
      <c r="C121" s="98"/>
      <c r="D121" s="98"/>
      <c r="E121" s="98"/>
      <c r="F121" s="576"/>
      <c r="G121" s="576"/>
      <c r="H121" s="576"/>
      <c r="I121" s="576"/>
      <c r="J121" s="576"/>
      <c r="K121" s="576"/>
      <c r="L121" s="576"/>
      <c r="M121" s="576"/>
      <c r="N121" s="576"/>
      <c r="O121" s="576"/>
      <c r="P121" s="576"/>
      <c r="Q121" s="576"/>
      <c r="R121" s="576"/>
      <c r="S121" s="576"/>
      <c r="T121" s="576"/>
      <c r="U121" s="576"/>
      <c r="V121" s="576"/>
      <c r="W121" s="576"/>
      <c r="X121" s="576"/>
      <c r="Y121" s="576"/>
      <c r="Z121" s="576"/>
      <c r="AA121" s="576"/>
      <c r="AB121" s="576"/>
      <c r="AC121" s="576"/>
      <c r="AD121" s="576"/>
      <c r="AE121" s="576"/>
      <c r="AF121" s="576"/>
      <c r="AG121" s="576"/>
      <c r="AH121" s="576"/>
      <c r="AI121" s="576"/>
      <c r="AJ121" s="576"/>
      <c r="AK121" s="576"/>
      <c r="AL121" s="576"/>
      <c r="AM121" s="576"/>
      <c r="AN121" s="576"/>
      <c r="AO121" s="576"/>
      <c r="AP121" s="576"/>
      <c r="AQ121" s="576"/>
      <c r="AR121" s="576"/>
      <c r="AS121" s="576"/>
      <c r="AT121" s="98"/>
      <c r="AU121" s="98"/>
      <c r="AV121" s="98"/>
      <c r="AW121" s="98"/>
      <c r="AX121" s="98"/>
      <c r="AY121" s="98"/>
      <c r="AZ121" s="576"/>
      <c r="BA121" s="576"/>
      <c r="BB121" s="576"/>
      <c r="BC121" s="576"/>
      <c r="BD121" s="576"/>
      <c r="BE121" s="576"/>
      <c r="BF121" s="576"/>
      <c r="BG121" s="576"/>
      <c r="BH121" s="576"/>
      <c r="BI121" s="576"/>
      <c r="BJ121" s="576"/>
      <c r="BK121" s="576"/>
      <c r="BL121" s="576"/>
      <c r="BM121" s="576"/>
      <c r="BN121" s="576"/>
      <c r="BO121" s="576"/>
      <c r="BP121" s="576"/>
      <c r="BQ121" s="576"/>
      <c r="BR121" s="576"/>
      <c r="BS121" s="576"/>
      <c r="BT121" s="576"/>
      <c r="BU121" s="576"/>
      <c r="BV121" s="576"/>
      <c r="BW121" s="576"/>
      <c r="BX121" s="577"/>
    </row>
    <row r="122" spans="1:76" x14ac:dyDescent="0.2">
      <c r="A122" s="576"/>
      <c r="B122" s="98"/>
      <c r="C122" s="98"/>
      <c r="D122" s="98"/>
      <c r="E122" s="98"/>
      <c r="F122" s="576"/>
      <c r="G122" s="576"/>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76"/>
      <c r="AL122" s="576"/>
      <c r="AM122" s="576"/>
      <c r="AN122" s="576"/>
      <c r="AO122" s="576"/>
      <c r="AP122" s="576"/>
      <c r="AQ122" s="576"/>
      <c r="AR122" s="576"/>
      <c r="AS122" s="576"/>
      <c r="AT122" s="98"/>
      <c r="AU122" s="98"/>
      <c r="AV122" s="98"/>
      <c r="AW122" s="98"/>
      <c r="AX122" s="98"/>
      <c r="AY122" s="98"/>
      <c r="AZ122" s="576"/>
      <c r="BA122" s="576"/>
      <c r="BB122" s="576"/>
      <c r="BC122" s="576"/>
      <c r="BD122" s="576"/>
      <c r="BE122" s="576"/>
      <c r="BF122" s="576"/>
      <c r="BG122" s="576"/>
      <c r="BH122" s="576"/>
      <c r="BI122" s="576"/>
      <c r="BJ122" s="576"/>
      <c r="BK122" s="576"/>
      <c r="BL122" s="576"/>
      <c r="BM122" s="576"/>
      <c r="BN122" s="576"/>
      <c r="BO122" s="576"/>
      <c r="BP122" s="576"/>
      <c r="BQ122" s="576"/>
      <c r="BR122" s="576"/>
      <c r="BS122" s="576"/>
      <c r="BT122" s="576"/>
      <c r="BU122" s="576"/>
      <c r="BV122" s="576"/>
      <c r="BW122" s="576"/>
      <c r="BX122" s="577"/>
    </row>
    <row r="123" spans="1:76" x14ac:dyDescent="0.2">
      <c r="A123" s="576"/>
      <c r="B123" s="98"/>
      <c r="C123" s="98"/>
      <c r="D123" s="98"/>
      <c r="E123" s="98"/>
      <c r="F123" s="576"/>
      <c r="G123" s="576"/>
      <c r="H123" s="576"/>
      <c r="I123" s="576"/>
      <c r="J123" s="576"/>
      <c r="K123" s="576"/>
      <c r="L123" s="576"/>
      <c r="M123" s="576"/>
      <c r="N123" s="576"/>
      <c r="O123" s="576"/>
      <c r="P123" s="576"/>
      <c r="Q123" s="576"/>
      <c r="R123" s="576"/>
      <c r="S123" s="576"/>
      <c r="T123" s="576"/>
      <c r="U123" s="576"/>
      <c r="V123" s="576"/>
      <c r="W123" s="576"/>
      <c r="X123" s="576"/>
      <c r="Y123" s="576"/>
      <c r="Z123" s="576"/>
      <c r="AA123" s="576"/>
      <c r="AB123" s="576"/>
      <c r="AC123" s="576"/>
      <c r="AD123" s="576"/>
      <c r="AE123" s="576"/>
      <c r="AF123" s="576"/>
      <c r="AG123" s="576"/>
      <c r="AH123" s="576"/>
      <c r="AI123" s="576"/>
      <c r="AJ123" s="576"/>
      <c r="AK123" s="576"/>
      <c r="AL123" s="576"/>
      <c r="AM123" s="576"/>
      <c r="AN123" s="576"/>
      <c r="AO123" s="576"/>
      <c r="AP123" s="576"/>
      <c r="AQ123" s="576"/>
      <c r="AR123" s="576"/>
      <c r="AS123" s="576"/>
      <c r="AT123" s="98"/>
      <c r="AU123" s="98"/>
      <c r="AV123" s="98"/>
      <c r="AW123" s="98"/>
      <c r="AX123" s="98"/>
      <c r="AY123" s="98"/>
      <c r="AZ123" s="576"/>
      <c r="BA123" s="576"/>
      <c r="BB123" s="576"/>
      <c r="BC123" s="576"/>
      <c r="BD123" s="576"/>
      <c r="BE123" s="576"/>
      <c r="BF123" s="576"/>
      <c r="BG123" s="576"/>
      <c r="BH123" s="576"/>
      <c r="BI123" s="576"/>
      <c r="BJ123" s="576"/>
      <c r="BK123" s="576"/>
      <c r="BL123" s="576"/>
      <c r="BM123" s="576"/>
      <c r="BN123" s="576"/>
      <c r="BO123" s="576"/>
      <c r="BP123" s="576"/>
      <c r="BQ123" s="576"/>
      <c r="BR123" s="576"/>
      <c r="BS123" s="576"/>
      <c r="BT123" s="576"/>
      <c r="BU123" s="576"/>
      <c r="BV123" s="576"/>
      <c r="BW123" s="576"/>
      <c r="BX123" s="577"/>
    </row>
    <row r="124" spans="1:76" x14ac:dyDescent="0.2">
      <c r="A124" s="576"/>
      <c r="B124" s="98"/>
      <c r="C124" s="98"/>
      <c r="D124" s="98"/>
      <c r="E124" s="98"/>
      <c r="F124" s="576"/>
      <c r="G124" s="576"/>
      <c r="H124" s="576"/>
      <c r="I124" s="576"/>
      <c r="J124" s="576"/>
      <c r="K124" s="576"/>
      <c r="L124" s="576"/>
      <c r="M124" s="576"/>
      <c r="N124" s="576"/>
      <c r="O124" s="576"/>
      <c r="P124" s="576"/>
      <c r="Q124" s="576"/>
      <c r="R124" s="576"/>
      <c r="S124" s="576"/>
      <c r="T124" s="576"/>
      <c r="U124" s="576"/>
      <c r="V124" s="576"/>
      <c r="W124" s="576"/>
      <c r="X124" s="576"/>
      <c r="Y124" s="576"/>
      <c r="Z124" s="576"/>
      <c r="AA124" s="576"/>
      <c r="AB124" s="576"/>
      <c r="AC124" s="576"/>
      <c r="AD124" s="576"/>
      <c r="AE124" s="576"/>
      <c r="AF124" s="576"/>
      <c r="AG124" s="576"/>
      <c r="AH124" s="576"/>
      <c r="AI124" s="576"/>
      <c r="AJ124" s="576"/>
      <c r="AK124" s="576"/>
      <c r="AL124" s="576"/>
      <c r="AM124" s="576"/>
      <c r="AN124" s="576"/>
      <c r="AO124" s="576"/>
      <c r="AP124" s="576"/>
      <c r="AQ124" s="576"/>
      <c r="AR124" s="576"/>
      <c r="AS124" s="576"/>
      <c r="AT124" s="98"/>
      <c r="AU124" s="98"/>
      <c r="AV124" s="98"/>
      <c r="AW124" s="98"/>
      <c r="AX124" s="98"/>
      <c r="AY124" s="98"/>
      <c r="AZ124" s="576"/>
      <c r="BA124" s="576"/>
      <c r="BB124" s="576"/>
      <c r="BC124" s="576"/>
      <c r="BD124" s="576"/>
      <c r="BE124" s="576"/>
      <c r="BF124" s="576"/>
      <c r="BG124" s="576"/>
      <c r="BH124" s="576"/>
      <c r="BI124" s="576"/>
      <c r="BJ124" s="576"/>
      <c r="BK124" s="576"/>
      <c r="BL124" s="576"/>
      <c r="BM124" s="576"/>
      <c r="BN124" s="576"/>
      <c r="BO124" s="576"/>
      <c r="BP124" s="576"/>
      <c r="BQ124" s="576"/>
      <c r="BR124" s="576"/>
      <c r="BS124" s="576"/>
      <c r="BT124" s="576"/>
      <c r="BU124" s="576"/>
      <c r="BV124" s="576"/>
      <c r="BW124" s="576"/>
      <c r="BX124" s="577"/>
    </row>
    <row r="125" spans="1:76" x14ac:dyDescent="0.2">
      <c r="A125" s="576"/>
      <c r="B125" s="98"/>
      <c r="C125" s="98"/>
      <c r="D125" s="98"/>
      <c r="E125" s="98"/>
      <c r="F125" s="576"/>
      <c r="G125" s="576"/>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576"/>
      <c r="AL125" s="576"/>
      <c r="AM125" s="576"/>
      <c r="AN125" s="576"/>
      <c r="AO125" s="576"/>
      <c r="AP125" s="576"/>
      <c r="AQ125" s="576"/>
      <c r="AR125" s="576"/>
      <c r="AS125" s="576"/>
      <c r="AT125" s="98"/>
      <c r="AU125" s="98"/>
      <c r="AV125" s="98"/>
      <c r="AW125" s="98"/>
      <c r="AX125" s="98"/>
      <c r="AY125" s="98"/>
      <c r="AZ125" s="576"/>
      <c r="BA125" s="576"/>
      <c r="BB125" s="576"/>
      <c r="BC125" s="576"/>
      <c r="BD125" s="576"/>
      <c r="BE125" s="576"/>
      <c r="BF125" s="576"/>
      <c r="BG125" s="576"/>
      <c r="BH125" s="576"/>
      <c r="BI125" s="576"/>
      <c r="BJ125" s="576"/>
      <c r="BK125" s="576"/>
      <c r="BL125" s="576"/>
      <c r="BM125" s="576"/>
      <c r="BN125" s="576"/>
      <c r="BO125" s="576"/>
      <c r="BP125" s="576"/>
      <c r="BQ125" s="576"/>
      <c r="BR125" s="576"/>
      <c r="BS125" s="576"/>
      <c r="BT125" s="576"/>
      <c r="BU125" s="576"/>
      <c r="BV125" s="576"/>
      <c r="BW125" s="576"/>
      <c r="BX125" s="577"/>
    </row>
    <row r="126" spans="1:76" x14ac:dyDescent="0.2">
      <c r="A126" s="576"/>
      <c r="B126" s="98"/>
      <c r="C126" s="98"/>
      <c r="D126" s="98"/>
      <c r="E126" s="98"/>
      <c r="F126" s="576"/>
      <c r="G126" s="576"/>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76"/>
      <c r="AL126" s="576"/>
      <c r="AM126" s="576"/>
      <c r="AN126" s="576"/>
      <c r="AO126" s="576"/>
      <c r="AP126" s="576"/>
      <c r="AQ126" s="576"/>
      <c r="AR126" s="576"/>
      <c r="AS126" s="576"/>
      <c r="AT126" s="98"/>
      <c r="AU126" s="98"/>
      <c r="AV126" s="98"/>
      <c r="AW126" s="98"/>
      <c r="AX126" s="98"/>
      <c r="AY126" s="98"/>
      <c r="AZ126" s="576"/>
      <c r="BA126" s="576"/>
      <c r="BB126" s="576"/>
      <c r="BC126" s="576"/>
      <c r="BD126" s="576"/>
      <c r="BE126" s="576"/>
      <c r="BF126" s="576"/>
      <c r="BG126" s="576"/>
      <c r="BH126" s="576"/>
      <c r="BI126" s="576"/>
      <c r="BJ126" s="576"/>
      <c r="BK126" s="576"/>
      <c r="BL126" s="576"/>
      <c r="BM126" s="576"/>
      <c r="BN126" s="576"/>
      <c r="BO126" s="576"/>
      <c r="BP126" s="576"/>
      <c r="BQ126" s="576"/>
      <c r="BR126" s="576"/>
      <c r="BS126" s="576"/>
      <c r="BT126" s="576"/>
      <c r="BU126" s="576"/>
      <c r="BV126" s="576"/>
      <c r="BW126" s="576"/>
      <c r="BX126" s="577"/>
    </row>
    <row r="127" spans="1:76" x14ac:dyDescent="0.2">
      <c r="A127" s="576"/>
      <c r="B127" s="98"/>
      <c r="C127" s="98"/>
      <c r="D127" s="98"/>
      <c r="E127" s="98"/>
      <c r="F127" s="576"/>
      <c r="G127" s="576"/>
      <c r="H127" s="576"/>
      <c r="I127" s="576"/>
      <c r="J127" s="576"/>
      <c r="K127" s="576"/>
      <c r="L127" s="576"/>
      <c r="M127" s="576"/>
      <c r="N127" s="576"/>
      <c r="O127" s="576"/>
      <c r="P127" s="576"/>
      <c r="Q127" s="576"/>
      <c r="R127" s="576"/>
      <c r="S127" s="576"/>
      <c r="T127" s="576"/>
      <c r="U127" s="576"/>
      <c r="V127" s="576"/>
      <c r="W127" s="576"/>
      <c r="X127" s="576"/>
      <c r="Y127" s="576"/>
      <c r="Z127" s="576"/>
      <c r="AA127" s="576"/>
      <c r="AB127" s="576"/>
      <c r="AC127" s="576"/>
      <c r="AD127" s="576"/>
      <c r="AE127" s="576"/>
      <c r="AF127" s="576"/>
      <c r="AG127" s="576"/>
      <c r="AH127" s="576"/>
      <c r="AI127" s="576"/>
      <c r="AJ127" s="576"/>
      <c r="AK127" s="576"/>
      <c r="AL127" s="576"/>
      <c r="AM127" s="576"/>
      <c r="AN127" s="576"/>
      <c r="AO127" s="576"/>
      <c r="AP127" s="576"/>
      <c r="AQ127" s="576"/>
      <c r="AR127" s="576"/>
      <c r="AS127" s="576"/>
      <c r="AT127" s="98"/>
      <c r="AU127" s="98"/>
      <c r="AV127" s="98"/>
      <c r="AW127" s="98"/>
      <c r="AX127" s="98"/>
      <c r="AY127" s="98"/>
      <c r="AZ127" s="576"/>
      <c r="BA127" s="576"/>
      <c r="BB127" s="576"/>
      <c r="BC127" s="576"/>
      <c r="BD127" s="576"/>
      <c r="BE127" s="576"/>
      <c r="BF127" s="576"/>
      <c r="BG127" s="576"/>
      <c r="BH127" s="576"/>
      <c r="BI127" s="576"/>
      <c r="BJ127" s="576"/>
      <c r="BK127" s="576"/>
      <c r="BL127" s="576"/>
      <c r="BM127" s="576"/>
      <c r="BN127" s="576"/>
      <c r="BO127" s="576"/>
      <c r="BP127" s="576"/>
      <c r="BQ127" s="576"/>
      <c r="BR127" s="576"/>
      <c r="BS127" s="576"/>
      <c r="BT127" s="576"/>
      <c r="BU127" s="576"/>
      <c r="BV127" s="576"/>
      <c r="BW127" s="576"/>
      <c r="BX127" s="577"/>
    </row>
    <row r="128" spans="1:76" x14ac:dyDescent="0.2">
      <c r="A128" s="576"/>
      <c r="B128" s="98"/>
      <c r="C128" s="98"/>
      <c r="D128" s="98"/>
      <c r="E128" s="98"/>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98"/>
      <c r="AU128" s="98"/>
      <c r="AV128" s="98"/>
      <c r="AW128" s="98"/>
      <c r="AX128" s="98"/>
      <c r="AY128" s="98"/>
      <c r="AZ128" s="576"/>
      <c r="BA128" s="576"/>
      <c r="BB128" s="576"/>
      <c r="BC128" s="576"/>
      <c r="BD128" s="576"/>
      <c r="BE128" s="576"/>
      <c r="BF128" s="576"/>
      <c r="BG128" s="576"/>
      <c r="BH128" s="576"/>
      <c r="BI128" s="576"/>
      <c r="BJ128" s="576"/>
      <c r="BK128" s="576"/>
      <c r="BL128" s="576"/>
      <c r="BM128" s="576"/>
      <c r="BN128" s="576"/>
      <c r="BO128" s="576"/>
      <c r="BP128" s="576"/>
      <c r="BQ128" s="576"/>
      <c r="BR128" s="576"/>
      <c r="BS128" s="576"/>
      <c r="BT128" s="576"/>
      <c r="BU128" s="576"/>
      <c r="BV128" s="576"/>
      <c r="BW128" s="576"/>
      <c r="BX128" s="577"/>
    </row>
    <row r="129" spans="1:76" x14ac:dyDescent="0.2">
      <c r="A129" s="576"/>
      <c r="B129" s="98"/>
      <c r="C129" s="98"/>
      <c r="D129" s="98"/>
      <c r="E129" s="98"/>
      <c r="F129" s="576"/>
      <c r="G129" s="576"/>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76"/>
      <c r="AL129" s="576"/>
      <c r="AM129" s="576"/>
      <c r="AN129" s="576"/>
      <c r="AO129" s="576"/>
      <c r="AP129" s="576"/>
      <c r="AQ129" s="576"/>
      <c r="AR129" s="576"/>
      <c r="AS129" s="576"/>
      <c r="AT129" s="98"/>
      <c r="AU129" s="98"/>
      <c r="AV129" s="98"/>
      <c r="AW129" s="98"/>
      <c r="AX129" s="98"/>
      <c r="AY129" s="98"/>
      <c r="AZ129" s="576"/>
      <c r="BA129" s="576"/>
      <c r="BB129" s="576"/>
      <c r="BC129" s="576"/>
      <c r="BD129" s="576"/>
      <c r="BE129" s="576"/>
      <c r="BF129" s="576"/>
      <c r="BG129" s="576"/>
      <c r="BH129" s="576"/>
      <c r="BI129" s="576"/>
      <c r="BJ129" s="576"/>
      <c r="BK129" s="576"/>
      <c r="BL129" s="576"/>
      <c r="BM129" s="576"/>
      <c r="BN129" s="576"/>
      <c r="BO129" s="576"/>
      <c r="BP129" s="576"/>
      <c r="BQ129" s="576"/>
      <c r="BR129" s="576"/>
      <c r="BS129" s="576"/>
      <c r="BT129" s="576"/>
      <c r="BU129" s="576"/>
      <c r="BV129" s="576"/>
      <c r="BW129" s="576"/>
      <c r="BX129" s="577"/>
    </row>
    <row r="130" spans="1:76" x14ac:dyDescent="0.2">
      <c r="A130" s="576"/>
      <c r="B130" s="98"/>
      <c r="C130" s="98"/>
      <c r="D130" s="98"/>
      <c r="E130" s="98"/>
      <c r="F130" s="576"/>
      <c r="G130" s="576"/>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76"/>
      <c r="AL130" s="576"/>
      <c r="AM130" s="576"/>
      <c r="AN130" s="576"/>
      <c r="AO130" s="576"/>
      <c r="AP130" s="576"/>
      <c r="AQ130" s="576"/>
      <c r="AR130" s="576"/>
      <c r="AS130" s="576"/>
      <c r="AT130" s="98"/>
      <c r="AU130" s="98"/>
      <c r="AV130" s="98"/>
      <c r="AW130" s="98"/>
      <c r="AX130" s="98"/>
      <c r="AY130" s="98"/>
      <c r="AZ130" s="576"/>
      <c r="BA130" s="576"/>
      <c r="BB130" s="576"/>
      <c r="BC130" s="576"/>
      <c r="BD130" s="576"/>
      <c r="BE130" s="576"/>
      <c r="BF130" s="576"/>
      <c r="BG130" s="576"/>
      <c r="BH130" s="576"/>
      <c r="BI130" s="576"/>
      <c r="BJ130" s="576"/>
      <c r="BK130" s="576"/>
      <c r="BL130" s="576"/>
      <c r="BM130" s="576"/>
      <c r="BN130" s="576"/>
      <c r="BO130" s="576"/>
      <c r="BP130" s="576"/>
      <c r="BQ130" s="576"/>
      <c r="BR130" s="576"/>
      <c r="BS130" s="576"/>
      <c r="BT130" s="576"/>
      <c r="BU130" s="576"/>
      <c r="BV130" s="576"/>
      <c r="BW130" s="576"/>
      <c r="BX130" s="577"/>
    </row>
    <row r="131" spans="1:76" x14ac:dyDescent="0.2">
      <c r="A131" s="576"/>
      <c r="B131" s="98"/>
      <c r="C131" s="98"/>
      <c r="D131" s="98"/>
      <c r="E131" s="98"/>
      <c r="F131" s="576"/>
      <c r="G131" s="576"/>
      <c r="H131" s="576"/>
      <c r="I131" s="576"/>
      <c r="J131" s="576"/>
      <c r="K131" s="576"/>
      <c r="L131" s="576"/>
      <c r="M131" s="576"/>
      <c r="N131" s="576"/>
      <c r="O131" s="576"/>
      <c r="P131" s="576"/>
      <c r="Q131" s="576"/>
      <c r="R131" s="576"/>
      <c r="S131" s="576"/>
      <c r="T131" s="576"/>
      <c r="U131" s="576"/>
      <c r="V131" s="576"/>
      <c r="W131" s="576"/>
      <c r="X131" s="576"/>
      <c r="Y131" s="576"/>
      <c r="Z131" s="576"/>
      <c r="AA131" s="576"/>
      <c r="AB131" s="576"/>
      <c r="AC131" s="576"/>
      <c r="AD131" s="576"/>
      <c r="AE131" s="576"/>
      <c r="AF131" s="576"/>
      <c r="AG131" s="576"/>
      <c r="AH131" s="576"/>
      <c r="AI131" s="576"/>
      <c r="AJ131" s="576"/>
      <c r="AK131" s="576"/>
      <c r="AL131" s="576"/>
      <c r="AM131" s="576"/>
      <c r="AN131" s="576"/>
      <c r="AO131" s="576"/>
      <c r="AP131" s="576"/>
      <c r="AQ131" s="576"/>
      <c r="AR131" s="576"/>
      <c r="AS131" s="576"/>
      <c r="AT131" s="98"/>
      <c r="AU131" s="98"/>
      <c r="AV131" s="98"/>
      <c r="AW131" s="98"/>
      <c r="AX131" s="98"/>
      <c r="AY131" s="98"/>
      <c r="AZ131" s="576"/>
      <c r="BA131" s="576"/>
      <c r="BB131" s="576"/>
      <c r="BC131" s="576"/>
      <c r="BD131" s="576"/>
      <c r="BE131" s="576"/>
      <c r="BF131" s="576"/>
      <c r="BG131" s="576"/>
      <c r="BH131" s="576"/>
      <c r="BI131" s="576"/>
      <c r="BJ131" s="576"/>
      <c r="BK131" s="576"/>
      <c r="BL131" s="576"/>
      <c r="BM131" s="576"/>
      <c r="BN131" s="576"/>
      <c r="BO131" s="576"/>
      <c r="BP131" s="576"/>
      <c r="BQ131" s="576"/>
      <c r="BR131" s="576"/>
      <c r="BS131" s="576"/>
      <c r="BT131" s="576"/>
      <c r="BU131" s="576"/>
      <c r="BV131" s="576"/>
      <c r="BW131" s="576"/>
      <c r="BX131" s="577"/>
    </row>
    <row r="132" spans="1:76" x14ac:dyDescent="0.2">
      <c r="A132" s="576"/>
      <c r="B132" s="98"/>
      <c r="C132" s="98"/>
      <c r="D132" s="98"/>
      <c r="E132" s="98"/>
      <c r="F132" s="576"/>
      <c r="G132" s="576"/>
      <c r="H132" s="576"/>
      <c r="I132" s="576"/>
      <c r="J132" s="576"/>
      <c r="K132" s="576"/>
      <c r="L132" s="576"/>
      <c r="M132" s="576"/>
      <c r="N132" s="576"/>
      <c r="O132" s="576"/>
      <c r="P132" s="576"/>
      <c r="Q132" s="576"/>
      <c r="R132" s="576"/>
      <c r="S132" s="576"/>
      <c r="T132" s="576"/>
      <c r="U132" s="576"/>
      <c r="V132" s="576"/>
      <c r="W132" s="576"/>
      <c r="X132" s="576"/>
      <c r="Y132" s="576"/>
      <c r="Z132" s="576"/>
      <c r="AA132" s="576"/>
      <c r="AB132" s="576"/>
      <c r="AC132" s="576"/>
      <c r="AD132" s="576"/>
      <c r="AE132" s="576"/>
      <c r="AF132" s="576"/>
      <c r="AG132" s="576"/>
      <c r="AH132" s="576"/>
      <c r="AI132" s="576"/>
      <c r="AJ132" s="576"/>
      <c r="AK132" s="576"/>
      <c r="AL132" s="576"/>
      <c r="AM132" s="576"/>
      <c r="AN132" s="576"/>
      <c r="AO132" s="576"/>
      <c r="AP132" s="576"/>
      <c r="AQ132" s="576"/>
      <c r="AR132" s="576"/>
      <c r="AS132" s="576"/>
      <c r="AT132" s="98"/>
      <c r="AU132" s="98"/>
      <c r="AV132" s="98"/>
      <c r="AW132" s="98"/>
      <c r="AX132" s="98"/>
      <c r="AY132" s="98"/>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7"/>
    </row>
    <row r="133" spans="1:76" x14ac:dyDescent="0.2">
      <c r="A133" s="576"/>
      <c r="B133" s="98"/>
      <c r="C133" s="98"/>
      <c r="D133" s="98"/>
      <c r="E133" s="98"/>
      <c r="F133" s="576"/>
      <c r="G133" s="576"/>
      <c r="H133" s="576"/>
      <c r="I133" s="576"/>
      <c r="J133" s="576"/>
      <c r="K133" s="576"/>
      <c r="L133" s="576"/>
      <c r="M133" s="576"/>
      <c r="N133" s="576"/>
      <c r="O133" s="576"/>
      <c r="P133" s="576"/>
      <c r="Q133" s="576"/>
      <c r="R133" s="576"/>
      <c r="S133" s="576"/>
      <c r="T133" s="576"/>
      <c r="U133" s="576"/>
      <c r="V133" s="576"/>
      <c r="W133" s="576"/>
      <c r="X133" s="576"/>
      <c r="Y133" s="576"/>
      <c r="Z133" s="576"/>
      <c r="AA133" s="576"/>
      <c r="AB133" s="576"/>
      <c r="AC133" s="576"/>
      <c r="AD133" s="576"/>
      <c r="AE133" s="576"/>
      <c r="AF133" s="576"/>
      <c r="AG133" s="576"/>
      <c r="AH133" s="576"/>
      <c r="AI133" s="576"/>
      <c r="AJ133" s="576"/>
      <c r="AK133" s="576"/>
      <c r="AL133" s="576"/>
      <c r="AM133" s="576"/>
      <c r="AN133" s="576"/>
      <c r="AO133" s="576"/>
      <c r="AP133" s="576"/>
      <c r="AQ133" s="576"/>
      <c r="AR133" s="576"/>
      <c r="AS133" s="576"/>
      <c r="AT133" s="98"/>
      <c r="AU133" s="98"/>
      <c r="AV133" s="98"/>
      <c r="AW133" s="98"/>
      <c r="AX133" s="98"/>
      <c r="AY133" s="98"/>
      <c r="AZ133" s="576"/>
      <c r="BA133" s="576"/>
      <c r="BB133" s="576"/>
      <c r="BC133" s="576"/>
      <c r="BD133" s="576"/>
      <c r="BE133" s="576"/>
      <c r="BF133" s="576"/>
      <c r="BG133" s="576"/>
      <c r="BH133" s="576"/>
      <c r="BI133" s="576"/>
      <c r="BJ133" s="576"/>
      <c r="BK133" s="576"/>
      <c r="BL133" s="576"/>
      <c r="BM133" s="576"/>
      <c r="BN133" s="576"/>
      <c r="BO133" s="576"/>
      <c r="BP133" s="576"/>
      <c r="BQ133" s="576"/>
      <c r="BR133" s="576"/>
      <c r="BS133" s="576"/>
      <c r="BT133" s="576"/>
      <c r="BU133" s="576"/>
      <c r="BV133" s="576"/>
      <c r="BW133" s="576"/>
      <c r="BX133" s="577"/>
    </row>
    <row r="134" spans="1:76" x14ac:dyDescent="0.2">
      <c r="A134" s="579"/>
      <c r="B134" s="100"/>
      <c r="C134" s="100"/>
      <c r="D134" s="100"/>
      <c r="E134" s="100"/>
      <c r="F134" s="579"/>
      <c r="G134" s="579"/>
      <c r="H134" s="579"/>
      <c r="I134" s="579"/>
      <c r="J134" s="579"/>
      <c r="K134" s="579"/>
      <c r="L134" s="579"/>
      <c r="M134" s="579"/>
      <c r="N134" s="579"/>
      <c r="O134" s="579"/>
      <c r="P134" s="579"/>
      <c r="Q134" s="579"/>
      <c r="R134" s="579"/>
      <c r="S134" s="579"/>
      <c r="T134" s="579"/>
      <c r="U134" s="579"/>
      <c r="V134" s="579"/>
      <c r="W134" s="579"/>
      <c r="X134" s="579"/>
      <c r="Y134" s="579"/>
      <c r="Z134" s="579"/>
      <c r="AA134" s="579"/>
      <c r="AB134" s="579"/>
      <c r="AC134" s="579"/>
      <c r="AD134" s="579"/>
      <c r="AE134" s="579"/>
      <c r="AF134" s="579"/>
      <c r="AG134" s="579"/>
      <c r="AH134" s="579"/>
      <c r="AI134" s="579"/>
      <c r="AJ134" s="579"/>
      <c r="AK134" s="579"/>
      <c r="AL134" s="579"/>
      <c r="AM134" s="579"/>
      <c r="AN134" s="579"/>
      <c r="AO134" s="579"/>
      <c r="AP134" s="579"/>
      <c r="AQ134" s="579"/>
      <c r="AR134" s="579"/>
      <c r="AS134" s="579"/>
      <c r="AT134" s="100"/>
      <c r="AU134" s="100"/>
      <c r="AV134" s="100"/>
      <c r="AW134" s="100"/>
      <c r="AX134" s="100"/>
      <c r="AY134" s="100"/>
      <c r="AZ134" s="579"/>
      <c r="BA134" s="579"/>
      <c r="BB134" s="579"/>
      <c r="BC134" s="579"/>
      <c r="BD134" s="579"/>
      <c r="BE134" s="579"/>
      <c r="BF134" s="579"/>
      <c r="BG134" s="579"/>
      <c r="BH134" s="579"/>
      <c r="BI134" s="579"/>
      <c r="BJ134" s="579"/>
      <c r="BK134" s="579"/>
      <c r="BL134" s="579"/>
      <c r="BM134" s="579"/>
      <c r="BN134" s="579"/>
      <c r="BO134" s="579"/>
      <c r="BP134" s="579"/>
      <c r="BQ134" s="579"/>
      <c r="BR134" s="579"/>
      <c r="BS134" s="579"/>
      <c r="BT134" s="579"/>
      <c r="BU134" s="579"/>
      <c r="BV134" s="579"/>
      <c r="BW134" s="579"/>
      <c r="BX134" s="580"/>
    </row>
  </sheetData>
  <sheetProtection algorithmName="SHA-512" hashValue="7rt8WjQYH5gWzTL/jvm+K7naK4FwqIaNn0R14dfmdtcYT+EigTr48rdmfPeyf6c9X1EvdJa+0EGO5RRuAfpWpw==" saltValue="lCq+qUPEl8b6ksqQMG/HpQ==" spinCount="100000" sheet="1" selectLockedCells="1"/>
  <dataConsolidate link="1"/>
  <mergeCells count="132">
    <mergeCell ref="AU55:AU66"/>
    <mergeCell ref="F69:G69"/>
    <mergeCell ref="C55:C66"/>
    <mergeCell ref="C7:C12"/>
    <mergeCell ref="C13:C14"/>
    <mergeCell ref="C15:C30"/>
    <mergeCell ref="C31:C33"/>
    <mergeCell ref="C34:C35"/>
    <mergeCell ref="C47:C48"/>
    <mergeCell ref="C36:C38"/>
    <mergeCell ref="C42:C45"/>
    <mergeCell ref="C50:C53"/>
    <mergeCell ref="P67:Q67"/>
    <mergeCell ref="R67:S67"/>
    <mergeCell ref="T67:U67"/>
    <mergeCell ref="V67:W67"/>
    <mergeCell ref="X67:Y67"/>
    <mergeCell ref="Z67:AA67"/>
    <mergeCell ref="AB67:AC67"/>
    <mergeCell ref="AP68:AQ68"/>
    <mergeCell ref="AR68:AS68"/>
    <mergeCell ref="AD69:AE69"/>
    <mergeCell ref="AF69:AG69"/>
    <mergeCell ref="AH69:AI69"/>
    <mergeCell ref="F2:G2"/>
    <mergeCell ref="H2:I2"/>
    <mergeCell ref="H3:I3"/>
    <mergeCell ref="H4:I4"/>
    <mergeCell ref="H67:I67"/>
    <mergeCell ref="H68:I68"/>
    <mergeCell ref="B55:B66"/>
    <mergeCell ref="F3:G3"/>
    <mergeCell ref="F4:G4"/>
    <mergeCell ref="F67:G67"/>
    <mergeCell ref="F68:G68"/>
    <mergeCell ref="L2:M2"/>
    <mergeCell ref="N2:O2"/>
    <mergeCell ref="P2:Q2"/>
    <mergeCell ref="L3:M3"/>
    <mergeCell ref="N3:O3"/>
    <mergeCell ref="P3:Q3"/>
    <mergeCell ref="H69:I69"/>
    <mergeCell ref="J2:K2"/>
    <mergeCell ref="J3:K3"/>
    <mergeCell ref="J4:K4"/>
    <mergeCell ref="J67:K67"/>
    <mergeCell ref="J68:K68"/>
    <mergeCell ref="J69:K69"/>
    <mergeCell ref="L68:M68"/>
    <mergeCell ref="N68:O68"/>
    <mergeCell ref="P68:Q68"/>
    <mergeCell ref="L69:M69"/>
    <mergeCell ref="N69:O69"/>
    <mergeCell ref="P69:Q69"/>
    <mergeCell ref="L4:M4"/>
    <mergeCell ref="N4:O4"/>
    <mergeCell ref="P4:Q4"/>
    <mergeCell ref="L67:M67"/>
    <mergeCell ref="N67:O67"/>
    <mergeCell ref="R3:S3"/>
    <mergeCell ref="T3:U3"/>
    <mergeCell ref="V3:W3"/>
    <mergeCell ref="X3:Y3"/>
    <mergeCell ref="Z3:AA3"/>
    <mergeCell ref="AB3:AC3"/>
    <mergeCell ref="R2:S2"/>
    <mergeCell ref="T2:U2"/>
    <mergeCell ref="V2:W2"/>
    <mergeCell ref="X2:Y2"/>
    <mergeCell ref="Z2:AA2"/>
    <mergeCell ref="AB2:AC2"/>
    <mergeCell ref="R4:S4"/>
    <mergeCell ref="T4:U4"/>
    <mergeCell ref="V4:W4"/>
    <mergeCell ref="X4:Y4"/>
    <mergeCell ref="Z4:AA4"/>
    <mergeCell ref="AB4:AC4"/>
    <mergeCell ref="R69:S69"/>
    <mergeCell ref="T69:U69"/>
    <mergeCell ref="V69:W69"/>
    <mergeCell ref="X69:Y69"/>
    <mergeCell ref="Z69:AA69"/>
    <mergeCell ref="AB69:AC69"/>
    <mergeCell ref="R68:S68"/>
    <mergeCell ref="T68:U68"/>
    <mergeCell ref="V68:W68"/>
    <mergeCell ref="X68:Y68"/>
    <mergeCell ref="Z68:AA68"/>
    <mergeCell ref="AB68:AC68"/>
    <mergeCell ref="AP2:AQ2"/>
    <mergeCell ref="AR2:AS2"/>
    <mergeCell ref="AD3:AE3"/>
    <mergeCell ref="AF3:AG3"/>
    <mergeCell ref="AH3:AI3"/>
    <mergeCell ref="AJ3:AK3"/>
    <mergeCell ref="AL3:AM3"/>
    <mergeCell ref="AN3:AO3"/>
    <mergeCell ref="AP3:AQ3"/>
    <mergeCell ref="AR3:AS3"/>
    <mergeCell ref="AD2:AE2"/>
    <mergeCell ref="AF2:AG2"/>
    <mergeCell ref="AH2:AI2"/>
    <mergeCell ref="AJ2:AK2"/>
    <mergeCell ref="AL2:AM2"/>
    <mergeCell ref="AN2:AO2"/>
    <mergeCell ref="AP4:AQ4"/>
    <mergeCell ref="AR4:AS4"/>
    <mergeCell ref="AD67:AE67"/>
    <mergeCell ref="AF67:AG67"/>
    <mergeCell ref="AH67:AI67"/>
    <mergeCell ref="AJ67:AK67"/>
    <mergeCell ref="AL67:AM67"/>
    <mergeCell ref="AN67:AO67"/>
    <mergeCell ref="AP67:AQ67"/>
    <mergeCell ref="AR67:AS67"/>
    <mergeCell ref="AD4:AE4"/>
    <mergeCell ref="AF4:AG4"/>
    <mergeCell ref="AH4:AI4"/>
    <mergeCell ref="AJ4:AK4"/>
    <mergeCell ref="AL4:AM4"/>
    <mergeCell ref="AN4:AO4"/>
    <mergeCell ref="AJ69:AK69"/>
    <mergeCell ref="AL69:AM69"/>
    <mergeCell ref="AN69:AO69"/>
    <mergeCell ref="AP69:AQ69"/>
    <mergeCell ref="AR69:AS69"/>
    <mergeCell ref="AD68:AE68"/>
    <mergeCell ref="AF68:AG68"/>
    <mergeCell ref="AH68:AI68"/>
    <mergeCell ref="AJ68:AK68"/>
    <mergeCell ref="AL68:AM68"/>
    <mergeCell ref="AN68:AO68"/>
  </mergeCells>
  <conditionalFormatting sqref="F4:AS4 F7:AS66">
    <cfRule type="notContainsBlanks" dxfId="10" priority="1">
      <formula>LEN(TRIM(F4))&gt;0</formula>
    </cfRule>
  </conditionalFormatting>
  <dataValidations count="1">
    <dataValidation type="whole" allowBlank="1" showInputMessage="1" showErrorMessage="1" errorTitle="Attenzione" error="Il servizio deve avere una durata minima di 1 mese e una durata massima di 48 mesi" sqref="F4:AS4" xr:uid="{00000000-0002-0000-1400-000000000000}">
      <formula1>1</formula1>
      <formula2>48</formula2>
    </dataValidation>
  </dataValidations>
  <pageMargins left="0.7" right="0.7" top="0.75" bottom="0.75" header="0.3" footer="0.3"/>
  <pageSetup paperSize="8" orientation="landscape"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17"/>
  <dimension ref="A1:BC80"/>
  <sheetViews>
    <sheetView zoomScaleNormal="100" workbookViewId="0">
      <pane xSplit="4" ySplit="6" topLeftCell="E7" activePane="bottomRight" state="frozen"/>
      <selection pane="topRight" activeCell="E1" sqref="E1"/>
      <selection pane="bottomLeft" activeCell="A7" sqref="A7"/>
      <selection pane="bottomRight" activeCell="E12" sqref="E12"/>
    </sheetView>
  </sheetViews>
  <sheetFormatPr defaultColWidth="9.140625" defaultRowHeight="11.25" x14ac:dyDescent="0.2"/>
  <cols>
    <col min="1" max="1" width="0.5703125" style="573" customWidth="1"/>
    <col min="2" max="2" width="10.140625" style="99" customWidth="1"/>
    <col min="3" max="3" width="29" style="99" customWidth="1"/>
    <col min="4" max="4" width="14.28515625" style="99" bestFit="1" customWidth="1"/>
    <col min="5" max="24" width="10.42578125" style="573" customWidth="1"/>
    <col min="25" max="25" width="12.42578125" style="99" bestFit="1" customWidth="1"/>
    <col min="26" max="26" width="5.140625" style="99" bestFit="1" customWidth="1"/>
    <col min="27" max="27" width="7.5703125" style="99" bestFit="1" customWidth="1"/>
    <col min="28" max="28" width="12.28515625" style="99" bestFit="1" customWidth="1"/>
    <col min="29" max="29" width="7.5703125" style="99" bestFit="1" customWidth="1"/>
    <col min="30" max="30" width="12.28515625" style="99" bestFit="1" customWidth="1"/>
    <col min="31" max="16384" width="9.140625" style="573"/>
  </cols>
  <sheetData>
    <row r="1" spans="1:55" s="99" customFormat="1" ht="12" thickBot="1" x14ac:dyDescent="0.25"/>
    <row r="2" spans="1:55" s="99" customFormat="1" ht="12.75" thickBot="1" x14ac:dyDescent="0.25">
      <c r="E2" s="125" t="s">
        <v>308</v>
      </c>
      <c r="F2" s="125" t="s">
        <v>309</v>
      </c>
      <c r="G2" s="125" t="s">
        <v>310</v>
      </c>
      <c r="H2" s="125" t="s">
        <v>311</v>
      </c>
      <c r="I2" s="125" t="s">
        <v>312</v>
      </c>
      <c r="J2" s="125" t="s">
        <v>313</v>
      </c>
      <c r="K2" s="125" t="s">
        <v>314</v>
      </c>
      <c r="L2" s="125" t="s">
        <v>315</v>
      </c>
      <c r="M2" s="125" t="s">
        <v>316</v>
      </c>
      <c r="N2" s="125" t="s">
        <v>317</v>
      </c>
      <c r="O2" s="125" t="s">
        <v>318</v>
      </c>
      <c r="P2" s="125" t="s">
        <v>319</v>
      </c>
      <c r="Q2" s="125" t="s">
        <v>320</v>
      </c>
      <c r="R2" s="125" t="s">
        <v>321</v>
      </c>
      <c r="S2" s="125" t="s">
        <v>322</v>
      </c>
      <c r="T2" s="125" t="s">
        <v>323</v>
      </c>
      <c r="U2" s="125" t="s">
        <v>324</v>
      </c>
      <c r="V2" s="125" t="s">
        <v>325</v>
      </c>
      <c r="W2" s="125" t="s">
        <v>326</v>
      </c>
      <c r="X2" s="125" t="s">
        <v>327</v>
      </c>
    </row>
    <row r="3" spans="1:55" s="99" customFormat="1" ht="24.75" thickBot="1" x14ac:dyDescent="0.25">
      <c r="D3" s="124" t="s">
        <v>1170</v>
      </c>
      <c r="E3" s="487" t="str">
        <f>IF('Elenco immobili'!$C$4="","",'Elenco immobili'!$C$4)</f>
        <v>Sede ICE-AGID</v>
      </c>
      <c r="F3" s="487" t="str">
        <f>IF('Elenco immobili'!$C$5="","",'Elenco immobili'!$C$5)</f>
        <v/>
      </c>
      <c r="G3" s="487" t="str">
        <f>IF('Elenco immobili'!$C$6="","",'Elenco immobili'!$C$6)</f>
        <v/>
      </c>
      <c r="H3" s="487" t="str">
        <f>IF('Elenco immobili'!$C$7="","",'Elenco immobili'!$C$7)</f>
        <v/>
      </c>
      <c r="I3" s="487" t="str">
        <f>IF('Elenco immobili'!$C$8="","",'Elenco immobili'!$C$8)</f>
        <v/>
      </c>
      <c r="J3" s="487" t="str">
        <f>IF('Elenco immobili'!$C$9="","",'Elenco immobili'!$C$9)</f>
        <v/>
      </c>
      <c r="K3" s="487" t="str">
        <f>IF('Elenco immobili'!$C$10="","",'Elenco immobili'!$C$10)</f>
        <v/>
      </c>
      <c r="L3" s="487" t="str">
        <f>IF('Elenco immobili'!$C$11="","",'Elenco immobili'!$C$11)</f>
        <v/>
      </c>
      <c r="M3" s="487" t="str">
        <f>IF('Elenco immobili'!$C$12="","",'Elenco immobili'!$C$12)</f>
        <v/>
      </c>
      <c r="N3" s="487" t="str">
        <f>IF('Elenco immobili'!$C$13="","",'Elenco immobili'!$C$13)</f>
        <v/>
      </c>
      <c r="O3" s="487" t="str">
        <f>IF('Elenco immobili'!$C$14="","",'Elenco immobili'!$C$14)</f>
        <v/>
      </c>
      <c r="P3" s="487" t="str">
        <f>IF('Elenco immobili'!$C$15="","",'Elenco immobili'!$C$15)</f>
        <v/>
      </c>
      <c r="Q3" s="487" t="str">
        <f>IF('Elenco immobili'!$C$16="","",'Elenco immobili'!$C$16)</f>
        <v/>
      </c>
      <c r="R3" s="487" t="str">
        <f>IF('Elenco immobili'!$C$17="","",'Elenco immobili'!$C$17)</f>
        <v/>
      </c>
      <c r="S3" s="487" t="str">
        <f>IF('Elenco immobili'!$C$18="","",'Elenco immobili'!$C$18)</f>
        <v/>
      </c>
      <c r="T3" s="487" t="str">
        <f>IF('Elenco immobili'!$C$19="","",'Elenco immobili'!$C$19)</f>
        <v/>
      </c>
      <c r="U3" s="487" t="str">
        <f>IF('Elenco immobili'!$C$20="","",'Elenco immobili'!$C$20)</f>
        <v/>
      </c>
      <c r="V3" s="487" t="str">
        <f>IF('Elenco immobili'!$C$21="","",'Elenco immobili'!$C$21)</f>
        <v/>
      </c>
      <c r="W3" s="487" t="str">
        <f>IF('Elenco immobili'!$C$22="","",'Elenco immobili'!$C$22)</f>
        <v/>
      </c>
      <c r="X3" s="487" t="str">
        <f>IF('Elenco immobili'!$C$23="","",'Elenco immobili'!$C$23)</f>
        <v/>
      </c>
    </row>
    <row r="4" spans="1:55" ht="13.5" thickBot="1" x14ac:dyDescent="0.25">
      <c r="B4" s="105" t="s">
        <v>972</v>
      </c>
      <c r="D4" s="125" t="s">
        <v>328</v>
      </c>
      <c r="E4" s="574"/>
      <c r="F4" s="574"/>
      <c r="G4" s="574"/>
      <c r="H4" s="574"/>
      <c r="I4" s="574"/>
      <c r="J4" s="574"/>
      <c r="K4" s="574"/>
      <c r="L4" s="574"/>
      <c r="M4" s="574"/>
      <c r="N4" s="574"/>
      <c r="O4" s="574"/>
      <c r="P4" s="574"/>
      <c r="Q4" s="574"/>
      <c r="R4" s="574"/>
      <c r="S4" s="574"/>
      <c r="T4" s="574"/>
      <c r="U4" s="574"/>
      <c r="V4" s="574"/>
      <c r="W4" s="574"/>
      <c r="X4" s="574"/>
    </row>
    <row r="5" spans="1:55" ht="3" customHeight="1" thickBot="1" x14ac:dyDescent="0.25">
      <c r="E5" s="102"/>
      <c r="F5" s="102"/>
      <c r="G5" s="102"/>
      <c r="H5" s="102"/>
      <c r="I5" s="102"/>
      <c r="J5" s="102"/>
      <c r="K5" s="102"/>
      <c r="L5" s="102"/>
      <c r="M5" s="102"/>
      <c r="N5" s="102"/>
      <c r="O5" s="102"/>
      <c r="P5" s="102"/>
      <c r="Q5" s="102"/>
      <c r="R5" s="102"/>
      <c r="S5" s="102"/>
      <c r="T5" s="102"/>
      <c r="U5" s="102"/>
      <c r="V5" s="102"/>
      <c r="W5" s="102"/>
      <c r="X5" s="102"/>
    </row>
    <row r="6" spans="1:55" s="99" customFormat="1" ht="57" thickBot="1" x14ac:dyDescent="0.25">
      <c r="A6" s="101"/>
      <c r="B6" s="121" t="s">
        <v>771</v>
      </c>
      <c r="C6" s="122" t="s">
        <v>253</v>
      </c>
      <c r="D6" s="123" t="s">
        <v>1174</v>
      </c>
      <c r="E6" s="588" t="s">
        <v>1164</v>
      </c>
      <c r="F6" s="588" t="s">
        <v>1164</v>
      </c>
      <c r="G6" s="588" t="s">
        <v>1164</v>
      </c>
      <c r="H6" s="588" t="s">
        <v>1164</v>
      </c>
      <c r="I6" s="588" t="s">
        <v>1164</v>
      </c>
      <c r="J6" s="588" t="s">
        <v>1164</v>
      </c>
      <c r="K6" s="588" t="s">
        <v>1164</v>
      </c>
      <c r="L6" s="588" t="s">
        <v>1164</v>
      </c>
      <c r="M6" s="588" t="s">
        <v>1164</v>
      </c>
      <c r="N6" s="588" t="s">
        <v>1164</v>
      </c>
      <c r="O6" s="588" t="s">
        <v>1164</v>
      </c>
      <c r="P6" s="588" t="s">
        <v>1164</v>
      </c>
      <c r="Q6" s="588" t="s">
        <v>1164</v>
      </c>
      <c r="R6" s="588" t="s">
        <v>1164</v>
      </c>
      <c r="S6" s="588" t="s">
        <v>1164</v>
      </c>
      <c r="T6" s="588" t="s">
        <v>1164</v>
      </c>
      <c r="U6" s="588" t="s">
        <v>1164</v>
      </c>
      <c r="V6" s="588" t="s">
        <v>1164</v>
      </c>
      <c r="W6" s="588" t="s">
        <v>1164</v>
      </c>
      <c r="X6" s="588" t="s">
        <v>1164</v>
      </c>
      <c r="Y6" s="127" t="s">
        <v>1187</v>
      </c>
      <c r="Z6" s="128" t="s">
        <v>51</v>
      </c>
      <c r="AA6" s="128" t="s">
        <v>143</v>
      </c>
      <c r="AB6" s="128" t="s">
        <v>1188</v>
      </c>
      <c r="AC6" s="128" t="s">
        <v>160</v>
      </c>
      <c r="AD6" s="128" t="s">
        <v>1189</v>
      </c>
      <c r="AE6" s="98"/>
      <c r="AF6" s="98"/>
      <c r="AG6" s="98"/>
      <c r="AH6" s="98"/>
      <c r="AI6" s="98"/>
      <c r="AJ6" s="98"/>
      <c r="AK6" s="98"/>
      <c r="AL6" s="98"/>
      <c r="AM6" s="98"/>
      <c r="AN6" s="98"/>
      <c r="AO6" s="98"/>
      <c r="AP6" s="98"/>
      <c r="AQ6" s="98"/>
      <c r="AR6" s="98"/>
      <c r="AS6" s="98"/>
      <c r="AT6" s="98"/>
      <c r="AU6" s="98"/>
      <c r="AV6" s="98"/>
      <c r="AW6" s="98"/>
      <c r="AX6" s="98"/>
      <c r="AY6" s="98"/>
      <c r="AZ6" s="98"/>
      <c r="BA6" s="98"/>
      <c r="BB6" s="98"/>
      <c r="BC6" s="96"/>
    </row>
    <row r="7" spans="1:55" ht="23.25" thickBot="1" x14ac:dyDescent="0.25">
      <c r="A7" s="575"/>
      <c r="B7" s="970" t="s">
        <v>973</v>
      </c>
      <c r="C7" s="310" t="s">
        <v>1281</v>
      </c>
      <c r="D7" s="303" t="s">
        <v>773</v>
      </c>
      <c r="E7" s="859"/>
      <c r="F7" s="454"/>
      <c r="G7" s="454"/>
      <c r="H7" s="454"/>
      <c r="I7" s="454"/>
      <c r="J7" s="454"/>
      <c r="K7" s="454"/>
      <c r="L7" s="454"/>
      <c r="M7" s="454"/>
      <c r="N7" s="454"/>
      <c r="O7" s="454"/>
      <c r="P7" s="454"/>
      <c r="Q7" s="454"/>
      <c r="R7" s="454"/>
      <c r="S7" s="454"/>
      <c r="T7" s="454"/>
      <c r="U7" s="454"/>
      <c r="V7" s="454"/>
      <c r="W7" s="454"/>
      <c r="X7" s="454"/>
      <c r="Y7" s="130">
        <v>20</v>
      </c>
      <c r="Z7" s="1015" t="s">
        <v>41</v>
      </c>
      <c r="AA7" s="773">
        <f>'Ribassi PE'!$K$45</f>
        <v>0.17</v>
      </c>
      <c r="AB7" s="132">
        <f t="shared" ref="AB7:AB11" si="0">ROUND(Y7*(1-AA7),3)</f>
        <v>16.600000000000001</v>
      </c>
      <c r="AC7" s="133">
        <f>'Ribassi PE'!$M$45</f>
        <v>0.2</v>
      </c>
      <c r="AD7" s="132">
        <f t="shared" ref="AD7:AD11" si="1">ROUND(Y7*(1-AC7),3)</f>
        <v>16</v>
      </c>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7"/>
    </row>
    <row r="8" spans="1:55" ht="23.25" thickBot="1" x14ac:dyDescent="0.25">
      <c r="A8" s="575"/>
      <c r="B8" s="968"/>
      <c r="C8" s="762" t="s">
        <v>1282</v>
      </c>
      <c r="D8" s="763" t="s">
        <v>773</v>
      </c>
      <c r="E8" s="859"/>
      <c r="F8" s="461"/>
      <c r="G8" s="461"/>
      <c r="H8" s="461"/>
      <c r="I8" s="461"/>
      <c r="J8" s="461"/>
      <c r="K8" s="461"/>
      <c r="L8" s="461"/>
      <c r="M8" s="461"/>
      <c r="N8" s="461"/>
      <c r="O8" s="461"/>
      <c r="P8" s="461"/>
      <c r="Q8" s="461"/>
      <c r="R8" s="461"/>
      <c r="S8" s="461"/>
      <c r="T8" s="461"/>
      <c r="U8" s="461"/>
      <c r="V8" s="461"/>
      <c r="W8" s="461"/>
      <c r="X8" s="461"/>
      <c r="Y8" s="253">
        <f>Y7*1.3</f>
        <v>26</v>
      </c>
      <c r="Z8" s="1016"/>
      <c r="AA8" s="774">
        <f>'Ribassi PE'!$K$45</f>
        <v>0.17</v>
      </c>
      <c r="AB8" s="136">
        <f t="shared" si="0"/>
        <v>21.58</v>
      </c>
      <c r="AC8" s="135">
        <f>'Ribassi PE'!$M$45</f>
        <v>0.2</v>
      </c>
      <c r="AD8" s="136">
        <f t="shared" si="1"/>
        <v>20.8</v>
      </c>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7"/>
    </row>
    <row r="9" spans="1:55" ht="23.25" thickBot="1" x14ac:dyDescent="0.25">
      <c r="A9" s="575"/>
      <c r="B9" s="968"/>
      <c r="C9" s="762" t="s">
        <v>1283</v>
      </c>
      <c r="D9" s="763" t="s">
        <v>773</v>
      </c>
      <c r="E9" s="859"/>
      <c r="F9" s="461"/>
      <c r="G9" s="461"/>
      <c r="H9" s="461"/>
      <c r="I9" s="461"/>
      <c r="J9" s="461"/>
      <c r="K9" s="461"/>
      <c r="L9" s="461"/>
      <c r="M9" s="461"/>
      <c r="N9" s="461"/>
      <c r="O9" s="461"/>
      <c r="P9" s="461"/>
      <c r="Q9" s="461"/>
      <c r="R9" s="461"/>
      <c r="S9" s="461"/>
      <c r="T9" s="461"/>
      <c r="U9" s="461"/>
      <c r="V9" s="461"/>
      <c r="W9" s="461"/>
      <c r="X9" s="461"/>
      <c r="Y9" s="253">
        <f>Y7*1.65</f>
        <v>33</v>
      </c>
      <c r="Z9" s="1016"/>
      <c r="AA9" s="774">
        <f>'Ribassi PE'!$K$45</f>
        <v>0.17</v>
      </c>
      <c r="AB9" s="136">
        <f t="shared" si="0"/>
        <v>27.39</v>
      </c>
      <c r="AC9" s="135">
        <f>'Ribassi PE'!$M$45</f>
        <v>0.2</v>
      </c>
      <c r="AD9" s="136">
        <f t="shared" si="1"/>
        <v>26.4</v>
      </c>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7"/>
    </row>
    <row r="10" spans="1:55" ht="23.25" thickBot="1" x14ac:dyDescent="0.25">
      <c r="A10" s="575"/>
      <c r="B10" s="969"/>
      <c r="C10" s="784" t="s">
        <v>1284</v>
      </c>
      <c r="D10" s="769" t="s">
        <v>773</v>
      </c>
      <c r="E10" s="848"/>
      <c r="F10" s="760"/>
      <c r="G10" s="760"/>
      <c r="H10" s="760"/>
      <c r="I10" s="760"/>
      <c r="J10" s="760"/>
      <c r="K10" s="760"/>
      <c r="L10" s="760"/>
      <c r="M10" s="760"/>
      <c r="N10" s="760"/>
      <c r="O10" s="760"/>
      <c r="P10" s="760"/>
      <c r="Q10" s="760"/>
      <c r="R10" s="760"/>
      <c r="S10" s="760"/>
      <c r="T10" s="760"/>
      <c r="U10" s="760"/>
      <c r="V10" s="760"/>
      <c r="W10" s="760"/>
      <c r="X10" s="760"/>
      <c r="Y10" s="253">
        <f>Y7*1.75</f>
        <v>35</v>
      </c>
      <c r="Z10" s="1016"/>
      <c r="AA10" s="775">
        <f>'Ribassi PE'!$K$45</f>
        <v>0.17</v>
      </c>
      <c r="AB10" s="139">
        <f t="shared" si="0"/>
        <v>29.05</v>
      </c>
      <c r="AC10" s="138">
        <f>'Ribassi PE'!$M$45</f>
        <v>0.2</v>
      </c>
      <c r="AD10" s="139">
        <f t="shared" si="1"/>
        <v>28</v>
      </c>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7"/>
    </row>
    <row r="11" spans="1:55" ht="23.25" thickBot="1" x14ac:dyDescent="0.25">
      <c r="A11" s="575"/>
      <c r="B11" s="968" t="s">
        <v>974</v>
      </c>
      <c r="C11" s="762" t="s">
        <v>1285</v>
      </c>
      <c r="D11" s="763" t="s">
        <v>773</v>
      </c>
      <c r="E11" s="859"/>
      <c r="F11" s="461"/>
      <c r="G11" s="461"/>
      <c r="H11" s="461"/>
      <c r="I11" s="461"/>
      <c r="J11" s="461"/>
      <c r="K11" s="461"/>
      <c r="L11" s="461"/>
      <c r="M11" s="461"/>
      <c r="N11" s="461"/>
      <c r="O11" s="461"/>
      <c r="P11" s="461"/>
      <c r="Q11" s="461"/>
      <c r="R11" s="461"/>
      <c r="S11" s="461"/>
      <c r="T11" s="461"/>
      <c r="U11" s="461"/>
      <c r="V11" s="461"/>
      <c r="W11" s="461"/>
      <c r="X11" s="461"/>
      <c r="Y11" s="134">
        <v>21</v>
      </c>
      <c r="Z11" s="1016"/>
      <c r="AA11" s="266">
        <f>'Ribassi PE'!$K$45</f>
        <v>0.17</v>
      </c>
      <c r="AB11" s="267">
        <f t="shared" si="0"/>
        <v>17.43</v>
      </c>
      <c r="AC11" s="266">
        <f>'Ribassi PE'!$M$45</f>
        <v>0.2</v>
      </c>
      <c r="AD11" s="267">
        <f t="shared" si="1"/>
        <v>16.8</v>
      </c>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7"/>
    </row>
    <row r="12" spans="1:55" ht="23.25" thickBot="1" x14ac:dyDescent="0.25">
      <c r="A12" s="575"/>
      <c r="B12" s="968"/>
      <c r="C12" s="298" t="s">
        <v>1286</v>
      </c>
      <c r="D12" s="299" t="s">
        <v>773</v>
      </c>
      <c r="E12" s="850"/>
      <c r="F12" s="455"/>
      <c r="G12" s="455"/>
      <c r="H12" s="455"/>
      <c r="I12" s="455"/>
      <c r="J12" s="455"/>
      <c r="K12" s="455"/>
      <c r="L12" s="455"/>
      <c r="M12" s="455"/>
      <c r="N12" s="455"/>
      <c r="O12" s="455"/>
      <c r="P12" s="455"/>
      <c r="Q12" s="455"/>
      <c r="R12" s="455"/>
      <c r="S12" s="455"/>
      <c r="T12" s="455"/>
      <c r="U12" s="455"/>
      <c r="V12" s="455"/>
      <c r="W12" s="455"/>
      <c r="X12" s="455"/>
      <c r="Y12" s="134">
        <f>Y11*1.3</f>
        <v>27.3</v>
      </c>
      <c r="Z12" s="1016"/>
      <c r="AA12" s="135">
        <f>'Ribassi PE'!$K$45</f>
        <v>0.17</v>
      </c>
      <c r="AB12" s="136">
        <f t="shared" ref="AB12:AB14" si="2">ROUND(Y12*(1-AA12),3)</f>
        <v>22.658999999999999</v>
      </c>
      <c r="AC12" s="135">
        <f>'Ribassi PE'!$M$45</f>
        <v>0.2</v>
      </c>
      <c r="AD12" s="136">
        <f t="shared" ref="AD12:AD14" si="3">ROUND(Y12*(1-AC12),3)</f>
        <v>21.84</v>
      </c>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7"/>
    </row>
    <row r="13" spans="1:55" ht="23.25" thickBot="1" x14ac:dyDescent="0.25">
      <c r="A13" s="575"/>
      <c r="B13" s="968"/>
      <c r="C13" s="298" t="s">
        <v>1287</v>
      </c>
      <c r="D13" s="299" t="s">
        <v>773</v>
      </c>
      <c r="E13" s="850"/>
      <c r="F13" s="455"/>
      <c r="G13" s="455"/>
      <c r="H13" s="455"/>
      <c r="I13" s="455"/>
      <c r="J13" s="455"/>
      <c r="K13" s="455"/>
      <c r="L13" s="455"/>
      <c r="M13" s="455"/>
      <c r="N13" s="455"/>
      <c r="O13" s="455"/>
      <c r="P13" s="455"/>
      <c r="Q13" s="455"/>
      <c r="R13" s="455"/>
      <c r="S13" s="455"/>
      <c r="T13" s="455"/>
      <c r="U13" s="455"/>
      <c r="V13" s="455"/>
      <c r="W13" s="455"/>
      <c r="X13" s="455"/>
      <c r="Y13" s="134">
        <f>Y11*1.65</f>
        <v>34.65</v>
      </c>
      <c r="Z13" s="1016"/>
      <c r="AA13" s="135">
        <f>'Ribassi PE'!$K$45</f>
        <v>0.17</v>
      </c>
      <c r="AB13" s="136">
        <f t="shared" si="2"/>
        <v>28.76</v>
      </c>
      <c r="AC13" s="135">
        <f>'Ribassi PE'!$M$45</f>
        <v>0.2</v>
      </c>
      <c r="AD13" s="136">
        <f t="shared" si="3"/>
        <v>27.72</v>
      </c>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7"/>
    </row>
    <row r="14" spans="1:55" ht="23.25" thickBot="1" x14ac:dyDescent="0.25">
      <c r="A14" s="575"/>
      <c r="B14" s="968"/>
      <c r="C14" s="764" t="s">
        <v>1288</v>
      </c>
      <c r="D14" s="765" t="s">
        <v>773</v>
      </c>
      <c r="E14" s="858"/>
      <c r="F14" s="460"/>
      <c r="G14" s="460"/>
      <c r="H14" s="460"/>
      <c r="I14" s="460"/>
      <c r="J14" s="460"/>
      <c r="K14" s="460"/>
      <c r="L14" s="460"/>
      <c r="M14" s="460"/>
      <c r="N14" s="460"/>
      <c r="O14" s="460"/>
      <c r="P14" s="460"/>
      <c r="Q14" s="460"/>
      <c r="R14" s="460"/>
      <c r="S14" s="460"/>
      <c r="T14" s="460"/>
      <c r="U14" s="460"/>
      <c r="V14" s="460"/>
      <c r="W14" s="460"/>
      <c r="X14" s="460"/>
      <c r="Y14" s="247">
        <f>Y11*1.75</f>
        <v>36.75</v>
      </c>
      <c r="Z14" s="1016"/>
      <c r="AA14" s="135">
        <f>'Ribassi PE'!$K$45</f>
        <v>0.17</v>
      </c>
      <c r="AB14" s="136">
        <f t="shared" si="2"/>
        <v>30.503</v>
      </c>
      <c r="AC14" s="135">
        <f>'Ribassi PE'!$M$45</f>
        <v>0.2</v>
      </c>
      <c r="AD14" s="136">
        <f t="shared" si="3"/>
        <v>29.4</v>
      </c>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7"/>
    </row>
    <row r="15" spans="1:55" ht="23.25" thickBot="1" x14ac:dyDescent="0.25">
      <c r="A15" s="575"/>
      <c r="B15" s="970" t="s">
        <v>975</v>
      </c>
      <c r="C15" s="780" t="s">
        <v>1289</v>
      </c>
      <c r="D15" s="779" t="s">
        <v>773</v>
      </c>
      <c r="E15" s="852"/>
      <c r="F15" s="759"/>
      <c r="G15" s="759"/>
      <c r="H15" s="759"/>
      <c r="I15" s="759"/>
      <c r="J15" s="759"/>
      <c r="K15" s="759"/>
      <c r="L15" s="759"/>
      <c r="M15" s="759"/>
      <c r="N15" s="759"/>
      <c r="O15" s="759"/>
      <c r="P15" s="759"/>
      <c r="Q15" s="759"/>
      <c r="R15" s="759"/>
      <c r="S15" s="759"/>
      <c r="T15" s="759"/>
      <c r="U15" s="759"/>
      <c r="V15" s="759"/>
      <c r="W15" s="759"/>
      <c r="X15" s="759"/>
      <c r="Y15" s="781">
        <v>23.2</v>
      </c>
      <c r="Z15" s="1016"/>
      <c r="AA15" s="778">
        <f>'Ribassi PE'!$K$45</f>
        <v>0.17</v>
      </c>
      <c r="AB15" s="250">
        <f t="shared" ref="AB15:AB18" si="4">ROUND(Y15*(1-AA15),3)</f>
        <v>19.256</v>
      </c>
      <c r="AC15" s="249">
        <f>'Ribassi PE'!$M$45</f>
        <v>0.2</v>
      </c>
      <c r="AD15" s="250">
        <f t="shared" ref="AD15:AD18" si="5">ROUND(Y15*(1-AC15),3)</f>
        <v>18.559999999999999</v>
      </c>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7"/>
    </row>
    <row r="16" spans="1:55" ht="23.25" thickBot="1" x14ac:dyDescent="0.25">
      <c r="A16" s="575"/>
      <c r="B16" s="968"/>
      <c r="C16" s="764" t="s">
        <v>1290</v>
      </c>
      <c r="D16" s="765" t="s">
        <v>773</v>
      </c>
      <c r="E16" s="858"/>
      <c r="F16" s="460"/>
      <c r="G16" s="460"/>
      <c r="H16" s="460"/>
      <c r="I16" s="460"/>
      <c r="J16" s="460"/>
      <c r="K16" s="460"/>
      <c r="L16" s="460"/>
      <c r="M16" s="460"/>
      <c r="N16" s="460"/>
      <c r="O16" s="460"/>
      <c r="P16" s="460"/>
      <c r="Q16" s="460"/>
      <c r="R16" s="460"/>
      <c r="S16" s="460"/>
      <c r="T16" s="460"/>
      <c r="U16" s="460"/>
      <c r="V16" s="460"/>
      <c r="W16" s="460"/>
      <c r="X16" s="460"/>
      <c r="Y16" s="782">
        <f>Y15*1.3</f>
        <v>30.16</v>
      </c>
      <c r="Z16" s="1016"/>
      <c r="AA16" s="774">
        <f>'Ribassi PE'!$K$45</f>
        <v>0.17</v>
      </c>
      <c r="AB16" s="136">
        <f t="shared" si="4"/>
        <v>25.033000000000001</v>
      </c>
      <c r="AC16" s="135">
        <f>'Ribassi PE'!$M$45</f>
        <v>0.2</v>
      </c>
      <c r="AD16" s="136">
        <f t="shared" si="5"/>
        <v>24.128</v>
      </c>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7"/>
    </row>
    <row r="17" spans="1:55" ht="23.25" thickBot="1" x14ac:dyDescent="0.25">
      <c r="A17" s="575"/>
      <c r="B17" s="968"/>
      <c r="C17" s="764" t="s">
        <v>1291</v>
      </c>
      <c r="D17" s="765" t="s">
        <v>773</v>
      </c>
      <c r="E17" s="858"/>
      <c r="F17" s="460"/>
      <c r="G17" s="460"/>
      <c r="H17" s="460"/>
      <c r="I17" s="460"/>
      <c r="J17" s="460"/>
      <c r="K17" s="460"/>
      <c r="L17" s="460"/>
      <c r="M17" s="460"/>
      <c r="N17" s="460"/>
      <c r="O17" s="460"/>
      <c r="P17" s="460"/>
      <c r="Q17" s="460"/>
      <c r="R17" s="460"/>
      <c r="S17" s="460"/>
      <c r="T17" s="460"/>
      <c r="U17" s="460"/>
      <c r="V17" s="460"/>
      <c r="W17" s="460"/>
      <c r="X17" s="460"/>
      <c r="Y17" s="782">
        <f>Y15*1.65</f>
        <v>38.279999999999994</v>
      </c>
      <c r="Z17" s="1016"/>
      <c r="AA17" s="774">
        <f>'Ribassi PE'!$K$45</f>
        <v>0.17</v>
      </c>
      <c r="AB17" s="136">
        <f t="shared" si="4"/>
        <v>31.771999999999998</v>
      </c>
      <c r="AC17" s="135">
        <f>'Ribassi PE'!$M$45</f>
        <v>0.2</v>
      </c>
      <c r="AD17" s="136">
        <f t="shared" si="5"/>
        <v>30.623999999999999</v>
      </c>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7"/>
    </row>
    <row r="18" spans="1:55" ht="23.25" thickBot="1" x14ac:dyDescent="0.25">
      <c r="A18" s="578"/>
      <c r="B18" s="969"/>
      <c r="C18" s="304" t="s">
        <v>1292</v>
      </c>
      <c r="D18" s="301" t="s">
        <v>773</v>
      </c>
      <c r="E18" s="851"/>
      <c r="F18" s="456"/>
      <c r="G18" s="456"/>
      <c r="H18" s="456"/>
      <c r="I18" s="456"/>
      <c r="J18" s="456"/>
      <c r="K18" s="456"/>
      <c r="L18" s="456"/>
      <c r="M18" s="456"/>
      <c r="N18" s="456"/>
      <c r="O18" s="456"/>
      <c r="P18" s="456"/>
      <c r="Q18" s="456"/>
      <c r="R18" s="456"/>
      <c r="S18" s="456"/>
      <c r="T18" s="456"/>
      <c r="U18" s="456"/>
      <c r="V18" s="456"/>
      <c r="W18" s="456"/>
      <c r="X18" s="456"/>
      <c r="Y18" s="783">
        <f>Y15*1.75</f>
        <v>40.6</v>
      </c>
      <c r="Z18" s="1017"/>
      <c r="AA18" s="775">
        <f>'Ribassi PE'!$K$45</f>
        <v>0.17</v>
      </c>
      <c r="AB18" s="139">
        <f t="shared" si="4"/>
        <v>33.698</v>
      </c>
      <c r="AC18" s="138">
        <f>'Ribassi PE'!$M$45</f>
        <v>0.2</v>
      </c>
      <c r="AD18" s="139">
        <f t="shared" si="5"/>
        <v>32.479999999999997</v>
      </c>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7"/>
    </row>
    <row r="19" spans="1:55" s="99" customFormat="1" ht="12.75" thickBot="1" x14ac:dyDescent="0.25">
      <c r="A19" s="98"/>
      <c r="B19" s="98"/>
      <c r="C19" s="98"/>
      <c r="D19" s="125" t="s">
        <v>329</v>
      </c>
      <c r="E19" s="126">
        <f t="shared" ref="E19:X19" si="6">SUMPRODUCT(E7:E18,$Y$7:$Y$18)*E$4</f>
        <v>0</v>
      </c>
      <c r="F19" s="126">
        <f t="shared" si="6"/>
        <v>0</v>
      </c>
      <c r="G19" s="126">
        <f t="shared" si="6"/>
        <v>0</v>
      </c>
      <c r="H19" s="126">
        <f t="shared" si="6"/>
        <v>0</v>
      </c>
      <c r="I19" s="126">
        <f t="shared" si="6"/>
        <v>0</v>
      </c>
      <c r="J19" s="126">
        <f t="shared" si="6"/>
        <v>0</v>
      </c>
      <c r="K19" s="126">
        <f t="shared" si="6"/>
        <v>0</v>
      </c>
      <c r="L19" s="126">
        <f t="shared" si="6"/>
        <v>0</v>
      </c>
      <c r="M19" s="126">
        <f t="shared" si="6"/>
        <v>0</v>
      </c>
      <c r="N19" s="126">
        <f t="shared" si="6"/>
        <v>0</v>
      </c>
      <c r="O19" s="126">
        <f t="shared" si="6"/>
        <v>0</v>
      </c>
      <c r="P19" s="126">
        <f t="shared" si="6"/>
        <v>0</v>
      </c>
      <c r="Q19" s="126">
        <f t="shared" si="6"/>
        <v>0</v>
      </c>
      <c r="R19" s="126">
        <f t="shared" si="6"/>
        <v>0</v>
      </c>
      <c r="S19" s="126">
        <f t="shared" si="6"/>
        <v>0</v>
      </c>
      <c r="T19" s="126">
        <f t="shared" si="6"/>
        <v>0</v>
      </c>
      <c r="U19" s="126">
        <f t="shared" si="6"/>
        <v>0</v>
      </c>
      <c r="V19" s="126">
        <f t="shared" si="6"/>
        <v>0</v>
      </c>
      <c r="W19" s="126">
        <f t="shared" si="6"/>
        <v>0</v>
      </c>
      <c r="X19" s="126">
        <f t="shared" si="6"/>
        <v>0</v>
      </c>
      <c r="Y19" s="97"/>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6"/>
    </row>
    <row r="20" spans="1:55" s="99" customFormat="1" ht="12.75" thickBot="1" x14ac:dyDescent="0.25">
      <c r="A20" s="98"/>
      <c r="B20" s="98"/>
      <c r="C20" s="98"/>
      <c r="D20" s="581" t="s">
        <v>330</v>
      </c>
      <c r="E20" s="201">
        <f t="shared" ref="E20:X20" si="7">SUMPRODUCT(E7:E18,$AB$7:$AB$18)*E$4</f>
        <v>0</v>
      </c>
      <c r="F20" s="201">
        <f t="shared" si="7"/>
        <v>0</v>
      </c>
      <c r="G20" s="201">
        <f t="shared" si="7"/>
        <v>0</v>
      </c>
      <c r="H20" s="201">
        <f t="shared" si="7"/>
        <v>0</v>
      </c>
      <c r="I20" s="201">
        <f t="shared" si="7"/>
        <v>0</v>
      </c>
      <c r="J20" s="201">
        <f t="shared" si="7"/>
        <v>0</v>
      </c>
      <c r="K20" s="201">
        <f t="shared" si="7"/>
        <v>0</v>
      </c>
      <c r="L20" s="201">
        <f t="shared" si="7"/>
        <v>0</v>
      </c>
      <c r="M20" s="201">
        <f t="shared" si="7"/>
        <v>0</v>
      </c>
      <c r="N20" s="201">
        <f t="shared" si="7"/>
        <v>0</v>
      </c>
      <c r="O20" s="201">
        <f t="shared" si="7"/>
        <v>0</v>
      </c>
      <c r="P20" s="201">
        <f t="shared" si="7"/>
        <v>0</v>
      </c>
      <c r="Q20" s="201">
        <f t="shared" si="7"/>
        <v>0</v>
      </c>
      <c r="R20" s="201">
        <f t="shared" si="7"/>
        <v>0</v>
      </c>
      <c r="S20" s="201">
        <f t="shared" si="7"/>
        <v>0</v>
      </c>
      <c r="T20" s="201">
        <f t="shared" si="7"/>
        <v>0</v>
      </c>
      <c r="U20" s="201">
        <f t="shared" si="7"/>
        <v>0</v>
      </c>
      <c r="V20" s="201">
        <f t="shared" si="7"/>
        <v>0</v>
      </c>
      <c r="W20" s="201">
        <f t="shared" si="7"/>
        <v>0</v>
      </c>
      <c r="X20" s="202">
        <f t="shared" si="7"/>
        <v>0</v>
      </c>
      <c r="Y20" s="97"/>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6"/>
    </row>
    <row r="21" spans="1:55" s="99" customFormat="1" ht="12.75" thickBot="1" x14ac:dyDescent="0.25">
      <c r="A21" s="98"/>
      <c r="B21" s="98"/>
      <c r="C21" s="98"/>
      <c r="D21" s="581" t="s">
        <v>331</v>
      </c>
      <c r="E21" s="201">
        <f t="shared" ref="E21:X21" si="8">SUMPRODUCT(E7:E18,$AD$7:$AD$18)*E$4</f>
        <v>0</v>
      </c>
      <c r="F21" s="201">
        <f t="shared" si="8"/>
        <v>0</v>
      </c>
      <c r="G21" s="201">
        <f t="shared" si="8"/>
        <v>0</v>
      </c>
      <c r="H21" s="201">
        <f t="shared" si="8"/>
        <v>0</v>
      </c>
      <c r="I21" s="201">
        <f t="shared" si="8"/>
        <v>0</v>
      </c>
      <c r="J21" s="201">
        <f t="shared" si="8"/>
        <v>0</v>
      </c>
      <c r="K21" s="201">
        <f t="shared" si="8"/>
        <v>0</v>
      </c>
      <c r="L21" s="201">
        <f t="shared" si="8"/>
        <v>0</v>
      </c>
      <c r="M21" s="201">
        <f t="shared" si="8"/>
        <v>0</v>
      </c>
      <c r="N21" s="201">
        <f t="shared" si="8"/>
        <v>0</v>
      </c>
      <c r="O21" s="201">
        <f t="shared" si="8"/>
        <v>0</v>
      </c>
      <c r="P21" s="201">
        <f t="shared" si="8"/>
        <v>0</v>
      </c>
      <c r="Q21" s="201">
        <f t="shared" si="8"/>
        <v>0</v>
      </c>
      <c r="R21" s="201">
        <f t="shared" si="8"/>
        <v>0</v>
      </c>
      <c r="S21" s="201">
        <f t="shared" si="8"/>
        <v>0</v>
      </c>
      <c r="T21" s="201">
        <f t="shared" si="8"/>
        <v>0</v>
      </c>
      <c r="U21" s="201">
        <f t="shared" si="8"/>
        <v>0</v>
      </c>
      <c r="V21" s="201">
        <f t="shared" si="8"/>
        <v>0</v>
      </c>
      <c r="W21" s="201">
        <f t="shared" si="8"/>
        <v>0</v>
      </c>
      <c r="X21" s="202">
        <f t="shared" si="8"/>
        <v>0</v>
      </c>
      <c r="Y21" s="97"/>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6"/>
    </row>
    <row r="22" spans="1:55" x14ac:dyDescent="0.2">
      <c r="A22" s="576"/>
      <c r="B22" s="98"/>
      <c r="C22" s="98"/>
      <c r="D22" s="98"/>
      <c r="E22" s="576"/>
      <c r="F22" s="576"/>
      <c r="G22" s="576"/>
      <c r="H22" s="576"/>
      <c r="I22" s="576"/>
      <c r="J22" s="576"/>
      <c r="K22" s="576"/>
      <c r="L22" s="576"/>
      <c r="M22" s="576"/>
      <c r="N22" s="576"/>
      <c r="O22" s="576"/>
      <c r="P22" s="576"/>
      <c r="Q22" s="576"/>
      <c r="R22" s="576"/>
      <c r="S22" s="576"/>
      <c r="T22" s="576"/>
      <c r="U22" s="576"/>
      <c r="V22" s="576"/>
      <c r="W22" s="576"/>
      <c r="X22" s="576"/>
      <c r="Y22" s="98"/>
      <c r="Z22" s="98"/>
      <c r="AA22" s="98"/>
      <c r="AB22" s="98"/>
      <c r="AC22" s="98"/>
      <c r="AD22" s="98"/>
      <c r="AE22" s="576"/>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7"/>
    </row>
    <row r="23" spans="1:55" s="99" customFormat="1" ht="25.5" customHeight="1" x14ac:dyDescent="0.2">
      <c r="A23" s="98"/>
      <c r="B23" s="96"/>
      <c r="C23" s="96"/>
      <c r="D23" s="143"/>
      <c r="E23" s="1021" t="s">
        <v>1259</v>
      </c>
      <c r="F23" s="1022"/>
      <c r="G23" s="1022"/>
      <c r="H23" s="1022"/>
      <c r="I23" s="1022"/>
      <c r="J23" s="1022"/>
      <c r="K23" s="1022"/>
      <c r="L23" s="1022"/>
      <c r="M23" s="1022"/>
      <c r="N23" s="1022"/>
      <c r="O23" s="1022"/>
      <c r="P23" s="1022"/>
      <c r="Q23" s="1022"/>
      <c r="R23" s="1022"/>
      <c r="S23" s="1022"/>
      <c r="T23" s="1022"/>
      <c r="U23" s="1022"/>
      <c r="V23" s="1022"/>
      <c r="W23" s="1022"/>
      <c r="X23" s="1023"/>
      <c r="Y23" s="97"/>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6"/>
    </row>
    <row r="24" spans="1:55" ht="68.099999999999994" customHeight="1" thickBot="1" x14ac:dyDescent="0.25">
      <c r="A24" s="576"/>
      <c r="B24" s="96"/>
      <c r="C24" s="96"/>
      <c r="D24" s="143"/>
      <c r="E24" s="619"/>
      <c r="F24" s="619"/>
      <c r="G24" s="619"/>
      <c r="H24" s="619"/>
      <c r="I24" s="619"/>
      <c r="J24" s="619"/>
      <c r="K24" s="619"/>
      <c r="L24" s="619"/>
      <c r="M24" s="619"/>
      <c r="N24" s="619"/>
      <c r="O24" s="619"/>
      <c r="P24" s="619"/>
      <c r="Q24" s="619"/>
      <c r="R24" s="619"/>
      <c r="S24" s="619"/>
      <c r="T24" s="619"/>
      <c r="U24" s="619"/>
      <c r="V24" s="619"/>
      <c r="W24" s="619"/>
      <c r="X24" s="619"/>
      <c r="Y24" s="98"/>
      <c r="Z24" s="98"/>
      <c r="AA24" s="98"/>
      <c r="AB24" s="98"/>
      <c r="AC24" s="98"/>
      <c r="AD24" s="98"/>
      <c r="AE24" s="576"/>
      <c r="AF24" s="576"/>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7"/>
    </row>
    <row r="25" spans="1:55" ht="12" thickTop="1" x14ac:dyDescent="0.2">
      <c r="A25" s="576"/>
      <c r="B25" s="98"/>
      <c r="C25" s="98"/>
      <c r="D25" s="98"/>
      <c r="E25" s="576"/>
      <c r="F25" s="576"/>
      <c r="G25" s="576"/>
      <c r="H25" s="576"/>
      <c r="I25" s="576"/>
      <c r="J25" s="576"/>
      <c r="K25" s="576"/>
      <c r="L25" s="576"/>
      <c r="M25" s="576"/>
      <c r="N25" s="576"/>
      <c r="O25" s="576"/>
      <c r="P25" s="576"/>
      <c r="Q25" s="576"/>
      <c r="R25" s="576"/>
      <c r="S25" s="576"/>
      <c r="T25" s="576"/>
      <c r="U25" s="576"/>
      <c r="V25" s="576"/>
      <c r="W25" s="576"/>
      <c r="X25" s="576"/>
      <c r="Y25" s="98"/>
      <c r="Z25" s="98"/>
      <c r="AA25" s="98"/>
      <c r="AB25" s="98"/>
      <c r="AC25" s="98"/>
      <c r="AD25" s="98"/>
      <c r="AE25" s="576"/>
      <c r="AF25" s="576"/>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7"/>
    </row>
    <row r="26" spans="1:55" x14ac:dyDescent="0.2">
      <c r="A26" s="576"/>
      <c r="B26" s="98"/>
      <c r="C26" s="98"/>
      <c r="D26" s="98"/>
      <c r="E26" s="576"/>
      <c r="F26" s="576"/>
      <c r="G26" s="576"/>
      <c r="H26" s="576"/>
      <c r="I26" s="576"/>
      <c r="J26" s="576"/>
      <c r="K26" s="576"/>
      <c r="L26" s="576"/>
      <c r="M26" s="576"/>
      <c r="N26" s="576"/>
      <c r="O26" s="576"/>
      <c r="P26" s="576"/>
      <c r="Q26" s="576"/>
      <c r="R26" s="576"/>
      <c r="S26" s="576"/>
      <c r="T26" s="576"/>
      <c r="U26" s="576"/>
      <c r="V26" s="576"/>
      <c r="W26" s="576"/>
      <c r="X26" s="576"/>
      <c r="Y26" s="98"/>
      <c r="Z26" s="98"/>
      <c r="AA26" s="98"/>
      <c r="AB26" s="98"/>
      <c r="AC26" s="98"/>
      <c r="AD26" s="98"/>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7"/>
    </row>
    <row r="27" spans="1:55" x14ac:dyDescent="0.2">
      <c r="A27" s="576"/>
      <c r="B27" s="98"/>
      <c r="C27" s="98"/>
      <c r="D27" s="98"/>
      <c r="E27" s="576"/>
      <c r="F27" s="576"/>
      <c r="G27" s="576"/>
      <c r="H27" s="576"/>
      <c r="I27" s="576"/>
      <c r="J27" s="576"/>
      <c r="K27" s="576"/>
      <c r="L27" s="576"/>
      <c r="M27" s="576"/>
      <c r="N27" s="576"/>
      <c r="O27" s="576"/>
      <c r="P27" s="576"/>
      <c r="Q27" s="576"/>
      <c r="R27" s="576"/>
      <c r="S27" s="576"/>
      <c r="T27" s="576"/>
      <c r="U27" s="576"/>
      <c r="V27" s="576"/>
      <c r="W27" s="576"/>
      <c r="X27" s="576"/>
      <c r="Y27" s="98"/>
      <c r="Z27" s="98"/>
      <c r="AA27" s="98"/>
      <c r="AB27" s="98"/>
      <c r="AC27" s="98"/>
      <c r="AD27" s="98"/>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7"/>
    </row>
    <row r="28" spans="1:55" x14ac:dyDescent="0.2">
      <c r="A28" s="576"/>
      <c r="B28" s="98"/>
      <c r="C28" s="98"/>
      <c r="D28" s="98"/>
      <c r="E28" s="576"/>
      <c r="F28" s="576"/>
      <c r="G28" s="576"/>
      <c r="H28" s="576"/>
      <c r="I28" s="576"/>
      <c r="J28" s="576"/>
      <c r="K28" s="576"/>
      <c r="L28" s="576"/>
      <c r="M28" s="576"/>
      <c r="N28" s="576"/>
      <c r="O28" s="576"/>
      <c r="P28" s="576"/>
      <c r="Q28" s="576"/>
      <c r="R28" s="576"/>
      <c r="S28" s="576"/>
      <c r="T28" s="576"/>
      <c r="U28" s="576"/>
      <c r="V28" s="576"/>
      <c r="W28" s="576"/>
      <c r="X28" s="576"/>
      <c r="Y28" s="98"/>
      <c r="Z28" s="98"/>
      <c r="AA28" s="98"/>
      <c r="AB28" s="98"/>
      <c r="AC28" s="98"/>
      <c r="AD28" s="98"/>
      <c r="AE28" s="576"/>
      <c r="AF28" s="576"/>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7"/>
    </row>
    <row r="29" spans="1:55" x14ac:dyDescent="0.2">
      <c r="A29" s="576"/>
      <c r="B29" s="98"/>
      <c r="C29" s="98"/>
      <c r="D29" s="98"/>
      <c r="E29" s="576"/>
      <c r="F29" s="576"/>
      <c r="G29" s="576"/>
      <c r="H29" s="576"/>
      <c r="I29" s="576"/>
      <c r="J29" s="576"/>
      <c r="K29" s="576"/>
      <c r="L29" s="576"/>
      <c r="M29" s="576"/>
      <c r="N29" s="576"/>
      <c r="O29" s="576"/>
      <c r="P29" s="576"/>
      <c r="Q29" s="576"/>
      <c r="R29" s="576"/>
      <c r="S29" s="576"/>
      <c r="T29" s="576"/>
      <c r="U29" s="576"/>
      <c r="V29" s="576"/>
      <c r="W29" s="576"/>
      <c r="X29" s="576"/>
      <c r="Y29" s="98"/>
      <c r="Z29" s="98"/>
      <c r="AA29" s="98"/>
      <c r="AB29" s="98"/>
      <c r="AC29" s="98"/>
      <c r="AD29" s="98"/>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7"/>
    </row>
    <row r="30" spans="1:55" x14ac:dyDescent="0.2">
      <c r="A30" s="576"/>
      <c r="B30" s="98"/>
      <c r="C30" s="98"/>
      <c r="D30" s="98"/>
      <c r="E30" s="576"/>
      <c r="F30" s="576"/>
      <c r="G30" s="576"/>
      <c r="H30" s="576"/>
      <c r="I30" s="576"/>
      <c r="J30" s="576"/>
      <c r="K30" s="576"/>
      <c r="L30" s="576"/>
      <c r="M30" s="576"/>
      <c r="N30" s="576"/>
      <c r="O30" s="576"/>
      <c r="P30" s="576"/>
      <c r="Q30" s="576"/>
      <c r="R30" s="576"/>
      <c r="S30" s="576"/>
      <c r="T30" s="576"/>
      <c r="U30" s="576"/>
      <c r="V30" s="576"/>
      <c r="W30" s="576"/>
      <c r="X30" s="576"/>
      <c r="Y30" s="98"/>
      <c r="Z30" s="98"/>
      <c r="AA30" s="98"/>
      <c r="AB30" s="98"/>
      <c r="AC30" s="98"/>
      <c r="AD30" s="98"/>
      <c r="AE30" s="576"/>
      <c r="AF30" s="576"/>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7"/>
    </row>
    <row r="31" spans="1:55" x14ac:dyDescent="0.2">
      <c r="A31" s="576"/>
      <c r="B31" s="98"/>
      <c r="C31" s="98"/>
      <c r="D31" s="98"/>
      <c r="E31" s="576"/>
      <c r="F31" s="576"/>
      <c r="G31" s="576"/>
      <c r="H31" s="576"/>
      <c r="I31" s="576"/>
      <c r="J31" s="576"/>
      <c r="K31" s="576"/>
      <c r="L31" s="576"/>
      <c r="M31" s="576"/>
      <c r="N31" s="576"/>
      <c r="O31" s="576"/>
      <c r="P31" s="576"/>
      <c r="Q31" s="576"/>
      <c r="R31" s="576"/>
      <c r="S31" s="576"/>
      <c r="T31" s="576"/>
      <c r="U31" s="576"/>
      <c r="V31" s="576"/>
      <c r="W31" s="576"/>
      <c r="X31" s="576"/>
      <c r="Y31" s="98"/>
      <c r="Z31" s="98"/>
      <c r="AA31" s="98"/>
      <c r="AB31" s="98"/>
      <c r="AC31" s="98"/>
      <c r="AD31" s="98"/>
      <c r="AE31" s="576"/>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7"/>
    </row>
    <row r="32" spans="1:55" x14ac:dyDescent="0.2">
      <c r="A32" s="576"/>
      <c r="B32" s="98"/>
      <c r="C32" s="98"/>
      <c r="D32" s="98"/>
      <c r="E32" s="576"/>
      <c r="F32" s="576"/>
      <c r="G32" s="576"/>
      <c r="H32" s="576"/>
      <c r="I32" s="576"/>
      <c r="J32" s="576"/>
      <c r="K32" s="576"/>
      <c r="L32" s="576"/>
      <c r="M32" s="576"/>
      <c r="N32" s="576"/>
      <c r="O32" s="576"/>
      <c r="P32" s="576"/>
      <c r="Q32" s="576"/>
      <c r="R32" s="576"/>
      <c r="S32" s="576"/>
      <c r="T32" s="576"/>
      <c r="U32" s="576"/>
      <c r="V32" s="576"/>
      <c r="W32" s="576"/>
      <c r="X32" s="576"/>
      <c r="Y32" s="98"/>
      <c r="Z32" s="98"/>
      <c r="AA32" s="98"/>
      <c r="AB32" s="98"/>
      <c r="AC32" s="98"/>
      <c r="AD32" s="98"/>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7"/>
    </row>
    <row r="33" spans="1:55" x14ac:dyDescent="0.2">
      <c r="A33" s="576"/>
      <c r="B33" s="98"/>
      <c r="C33" s="98"/>
      <c r="D33" s="98"/>
      <c r="E33" s="576"/>
      <c r="F33" s="576"/>
      <c r="G33" s="576"/>
      <c r="H33" s="576"/>
      <c r="I33" s="576"/>
      <c r="J33" s="576"/>
      <c r="K33" s="576"/>
      <c r="L33" s="576"/>
      <c r="M33" s="576"/>
      <c r="N33" s="576"/>
      <c r="O33" s="576"/>
      <c r="P33" s="576"/>
      <c r="Q33" s="576"/>
      <c r="R33" s="576"/>
      <c r="S33" s="576"/>
      <c r="T33" s="576"/>
      <c r="U33" s="576"/>
      <c r="V33" s="576"/>
      <c r="W33" s="576"/>
      <c r="X33" s="576"/>
      <c r="Y33" s="98"/>
      <c r="Z33" s="98"/>
      <c r="AA33" s="98"/>
      <c r="AB33" s="98"/>
      <c r="AC33" s="98"/>
      <c r="AD33" s="98"/>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7"/>
    </row>
    <row r="34" spans="1:55" x14ac:dyDescent="0.2">
      <c r="A34" s="576"/>
      <c r="B34" s="98"/>
      <c r="C34" s="98"/>
      <c r="D34" s="98"/>
      <c r="E34" s="576"/>
      <c r="F34" s="576"/>
      <c r="G34" s="576"/>
      <c r="H34" s="576"/>
      <c r="I34" s="576"/>
      <c r="J34" s="576"/>
      <c r="K34" s="576"/>
      <c r="L34" s="576"/>
      <c r="M34" s="576"/>
      <c r="N34" s="576"/>
      <c r="O34" s="576"/>
      <c r="P34" s="576"/>
      <c r="Q34" s="576"/>
      <c r="R34" s="576"/>
      <c r="S34" s="576"/>
      <c r="T34" s="576"/>
      <c r="U34" s="576"/>
      <c r="V34" s="576"/>
      <c r="W34" s="576"/>
      <c r="X34" s="576"/>
      <c r="Y34" s="98"/>
      <c r="Z34" s="98"/>
      <c r="AA34" s="98"/>
      <c r="AB34" s="98"/>
      <c r="AC34" s="98"/>
      <c r="AD34" s="98"/>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7"/>
    </row>
    <row r="35" spans="1:55" x14ac:dyDescent="0.2">
      <c r="A35" s="576"/>
      <c r="B35" s="98"/>
      <c r="C35" s="98"/>
      <c r="D35" s="98"/>
      <c r="E35" s="576"/>
      <c r="F35" s="576"/>
      <c r="G35" s="576"/>
      <c r="H35" s="576"/>
      <c r="I35" s="576"/>
      <c r="J35" s="576"/>
      <c r="K35" s="576"/>
      <c r="L35" s="576"/>
      <c r="M35" s="576"/>
      <c r="N35" s="576"/>
      <c r="O35" s="576"/>
      <c r="P35" s="576"/>
      <c r="Q35" s="576"/>
      <c r="R35" s="576"/>
      <c r="S35" s="576"/>
      <c r="T35" s="576"/>
      <c r="U35" s="576"/>
      <c r="V35" s="576"/>
      <c r="W35" s="576"/>
      <c r="X35" s="576"/>
      <c r="Y35" s="98"/>
      <c r="Z35" s="98"/>
      <c r="AA35" s="98"/>
      <c r="AB35" s="98"/>
      <c r="AC35" s="98"/>
      <c r="AD35" s="98"/>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7"/>
    </row>
    <row r="36" spans="1:55" x14ac:dyDescent="0.2">
      <c r="A36" s="576"/>
      <c r="B36" s="98"/>
      <c r="C36" s="98"/>
      <c r="D36" s="98"/>
      <c r="E36" s="576"/>
      <c r="F36" s="576"/>
      <c r="G36" s="576"/>
      <c r="H36" s="576"/>
      <c r="I36" s="576"/>
      <c r="J36" s="576"/>
      <c r="K36" s="576"/>
      <c r="L36" s="576"/>
      <c r="M36" s="576"/>
      <c r="N36" s="576"/>
      <c r="O36" s="576"/>
      <c r="P36" s="576"/>
      <c r="Q36" s="576"/>
      <c r="R36" s="576"/>
      <c r="S36" s="576"/>
      <c r="T36" s="576"/>
      <c r="U36" s="576"/>
      <c r="V36" s="576"/>
      <c r="W36" s="576"/>
      <c r="X36" s="576"/>
      <c r="Y36" s="98"/>
      <c r="Z36" s="98"/>
      <c r="AA36" s="98"/>
      <c r="AB36" s="98"/>
      <c r="AC36" s="98"/>
      <c r="AD36" s="98"/>
      <c r="AE36" s="576"/>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7"/>
    </row>
    <row r="37" spans="1:55" x14ac:dyDescent="0.2">
      <c r="A37" s="576"/>
      <c r="B37" s="98"/>
      <c r="C37" s="98"/>
      <c r="D37" s="98"/>
      <c r="E37" s="576"/>
      <c r="F37" s="576"/>
      <c r="G37" s="576"/>
      <c r="H37" s="576"/>
      <c r="I37" s="576"/>
      <c r="J37" s="576"/>
      <c r="K37" s="576"/>
      <c r="L37" s="576"/>
      <c r="M37" s="576"/>
      <c r="N37" s="576"/>
      <c r="O37" s="576"/>
      <c r="P37" s="576"/>
      <c r="Q37" s="576"/>
      <c r="R37" s="576"/>
      <c r="S37" s="576"/>
      <c r="T37" s="576"/>
      <c r="U37" s="576"/>
      <c r="V37" s="576"/>
      <c r="W37" s="576"/>
      <c r="X37" s="576"/>
      <c r="Y37" s="98"/>
      <c r="Z37" s="98"/>
      <c r="AA37" s="98"/>
      <c r="AB37" s="98"/>
      <c r="AC37" s="98"/>
      <c r="AD37" s="98"/>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7"/>
    </row>
    <row r="38" spans="1:55" x14ac:dyDescent="0.2">
      <c r="A38" s="576"/>
      <c r="B38" s="98"/>
      <c r="C38" s="98"/>
      <c r="D38" s="98"/>
      <c r="E38" s="576"/>
      <c r="F38" s="576"/>
      <c r="G38" s="576"/>
      <c r="H38" s="576"/>
      <c r="I38" s="576"/>
      <c r="J38" s="576"/>
      <c r="K38" s="576"/>
      <c r="L38" s="576"/>
      <c r="M38" s="576"/>
      <c r="N38" s="576"/>
      <c r="O38" s="576"/>
      <c r="P38" s="576"/>
      <c r="Q38" s="576"/>
      <c r="R38" s="576"/>
      <c r="S38" s="576"/>
      <c r="T38" s="576"/>
      <c r="U38" s="576"/>
      <c r="V38" s="576"/>
      <c r="W38" s="576"/>
      <c r="X38" s="576"/>
      <c r="Y38" s="98"/>
      <c r="Z38" s="98"/>
      <c r="AA38" s="98"/>
      <c r="AB38" s="98"/>
      <c r="AC38" s="98"/>
      <c r="AD38" s="98"/>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7"/>
    </row>
    <row r="39" spans="1:55" x14ac:dyDescent="0.2">
      <c r="A39" s="576"/>
      <c r="B39" s="98"/>
      <c r="C39" s="98"/>
      <c r="D39" s="98"/>
      <c r="E39" s="576"/>
      <c r="F39" s="576"/>
      <c r="G39" s="576"/>
      <c r="H39" s="576"/>
      <c r="I39" s="576"/>
      <c r="J39" s="576"/>
      <c r="K39" s="576"/>
      <c r="L39" s="576"/>
      <c r="M39" s="576"/>
      <c r="N39" s="576"/>
      <c r="O39" s="576"/>
      <c r="P39" s="576"/>
      <c r="Q39" s="576"/>
      <c r="R39" s="576"/>
      <c r="S39" s="576"/>
      <c r="T39" s="576"/>
      <c r="U39" s="576"/>
      <c r="V39" s="576"/>
      <c r="W39" s="576"/>
      <c r="X39" s="576"/>
      <c r="Y39" s="98"/>
      <c r="Z39" s="98"/>
      <c r="AA39" s="98"/>
      <c r="AB39" s="98"/>
      <c r="AC39" s="98"/>
      <c r="AD39" s="98"/>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7"/>
    </row>
    <row r="40" spans="1:55" x14ac:dyDescent="0.2">
      <c r="A40" s="576"/>
      <c r="B40" s="98"/>
      <c r="C40" s="98"/>
      <c r="D40" s="98"/>
      <c r="E40" s="576"/>
      <c r="F40" s="576"/>
      <c r="G40" s="576"/>
      <c r="H40" s="576"/>
      <c r="I40" s="576"/>
      <c r="J40" s="576"/>
      <c r="K40" s="576"/>
      <c r="L40" s="576"/>
      <c r="M40" s="576"/>
      <c r="N40" s="576"/>
      <c r="O40" s="576"/>
      <c r="P40" s="576"/>
      <c r="Q40" s="576"/>
      <c r="R40" s="576"/>
      <c r="S40" s="576"/>
      <c r="T40" s="576"/>
      <c r="U40" s="576"/>
      <c r="V40" s="576"/>
      <c r="W40" s="576"/>
      <c r="X40" s="576"/>
      <c r="Y40" s="98"/>
      <c r="Z40" s="98"/>
      <c r="AA40" s="98"/>
      <c r="AB40" s="98"/>
      <c r="AC40" s="98"/>
      <c r="AD40" s="98"/>
      <c r="AE40" s="576"/>
      <c r="AF40" s="576"/>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7"/>
    </row>
    <row r="41" spans="1:55" x14ac:dyDescent="0.2">
      <c r="A41" s="576"/>
      <c r="B41" s="98"/>
      <c r="C41" s="98"/>
      <c r="D41" s="98"/>
      <c r="E41" s="576"/>
      <c r="F41" s="576"/>
      <c r="G41" s="576"/>
      <c r="H41" s="576"/>
      <c r="I41" s="576"/>
      <c r="J41" s="576"/>
      <c r="K41" s="576"/>
      <c r="L41" s="576"/>
      <c r="M41" s="576"/>
      <c r="N41" s="576"/>
      <c r="O41" s="576"/>
      <c r="P41" s="576"/>
      <c r="Q41" s="576"/>
      <c r="R41" s="576"/>
      <c r="S41" s="576"/>
      <c r="T41" s="576"/>
      <c r="U41" s="576"/>
      <c r="V41" s="576"/>
      <c r="W41" s="576"/>
      <c r="X41" s="576"/>
      <c r="Y41" s="98"/>
      <c r="Z41" s="98"/>
      <c r="AA41" s="98"/>
      <c r="AB41" s="98"/>
      <c r="AC41" s="98"/>
      <c r="AD41" s="98"/>
      <c r="AE41" s="576"/>
      <c r="AF41" s="576"/>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7"/>
    </row>
    <row r="42" spans="1:55" x14ac:dyDescent="0.2">
      <c r="A42" s="576"/>
      <c r="B42" s="98"/>
      <c r="C42" s="98"/>
      <c r="D42" s="98"/>
      <c r="E42" s="576"/>
      <c r="F42" s="576"/>
      <c r="G42" s="576"/>
      <c r="H42" s="576"/>
      <c r="I42" s="576"/>
      <c r="J42" s="576"/>
      <c r="K42" s="576"/>
      <c r="L42" s="576"/>
      <c r="M42" s="576"/>
      <c r="N42" s="576"/>
      <c r="O42" s="576"/>
      <c r="P42" s="576"/>
      <c r="Q42" s="576"/>
      <c r="R42" s="576"/>
      <c r="S42" s="576"/>
      <c r="T42" s="576"/>
      <c r="U42" s="576"/>
      <c r="V42" s="576"/>
      <c r="W42" s="576"/>
      <c r="X42" s="576"/>
      <c r="Y42" s="98"/>
      <c r="Z42" s="98"/>
      <c r="AA42" s="98"/>
      <c r="AB42" s="98"/>
      <c r="AC42" s="98"/>
      <c r="AD42" s="98"/>
      <c r="AE42" s="576"/>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7"/>
    </row>
    <row r="43" spans="1:55" x14ac:dyDescent="0.2">
      <c r="A43" s="576"/>
      <c r="B43" s="98"/>
      <c r="C43" s="98"/>
      <c r="D43" s="98"/>
      <c r="E43" s="576"/>
      <c r="F43" s="576"/>
      <c r="G43" s="576"/>
      <c r="H43" s="576"/>
      <c r="I43" s="576"/>
      <c r="J43" s="576"/>
      <c r="K43" s="576"/>
      <c r="L43" s="576"/>
      <c r="M43" s="576"/>
      <c r="N43" s="576"/>
      <c r="O43" s="576"/>
      <c r="P43" s="576"/>
      <c r="Q43" s="576"/>
      <c r="R43" s="576"/>
      <c r="S43" s="576"/>
      <c r="T43" s="576"/>
      <c r="U43" s="576"/>
      <c r="V43" s="576"/>
      <c r="W43" s="576"/>
      <c r="X43" s="576"/>
      <c r="Y43" s="98"/>
      <c r="Z43" s="98"/>
      <c r="AA43" s="98"/>
      <c r="AB43" s="98"/>
      <c r="AC43" s="98"/>
      <c r="AD43" s="98"/>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7"/>
    </row>
    <row r="44" spans="1:55" x14ac:dyDescent="0.2">
      <c r="A44" s="576"/>
      <c r="B44" s="98"/>
      <c r="C44" s="98"/>
      <c r="D44" s="98"/>
      <c r="E44" s="576"/>
      <c r="F44" s="576"/>
      <c r="G44" s="576"/>
      <c r="H44" s="576"/>
      <c r="I44" s="576"/>
      <c r="J44" s="576"/>
      <c r="K44" s="576"/>
      <c r="L44" s="576"/>
      <c r="M44" s="576"/>
      <c r="N44" s="576"/>
      <c r="O44" s="576"/>
      <c r="P44" s="576"/>
      <c r="Q44" s="576"/>
      <c r="R44" s="576"/>
      <c r="S44" s="576"/>
      <c r="T44" s="576"/>
      <c r="U44" s="576"/>
      <c r="V44" s="576"/>
      <c r="W44" s="576"/>
      <c r="X44" s="576"/>
      <c r="Y44" s="98"/>
      <c r="Z44" s="98"/>
      <c r="AA44" s="98"/>
      <c r="AB44" s="98"/>
      <c r="AC44" s="98"/>
      <c r="AD44" s="98"/>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7"/>
    </row>
    <row r="45" spans="1:55" x14ac:dyDescent="0.2">
      <c r="A45" s="576"/>
      <c r="B45" s="98"/>
      <c r="C45" s="98"/>
      <c r="D45" s="98"/>
      <c r="E45" s="576"/>
      <c r="F45" s="576"/>
      <c r="G45" s="576"/>
      <c r="H45" s="576"/>
      <c r="I45" s="576"/>
      <c r="J45" s="576"/>
      <c r="K45" s="576"/>
      <c r="L45" s="576"/>
      <c r="M45" s="576"/>
      <c r="N45" s="576"/>
      <c r="O45" s="576"/>
      <c r="P45" s="576"/>
      <c r="Q45" s="576"/>
      <c r="R45" s="576"/>
      <c r="S45" s="576"/>
      <c r="T45" s="576"/>
      <c r="U45" s="576"/>
      <c r="V45" s="576"/>
      <c r="W45" s="576"/>
      <c r="X45" s="576"/>
      <c r="Y45" s="98"/>
      <c r="Z45" s="98"/>
      <c r="AA45" s="98"/>
      <c r="AB45" s="98"/>
      <c r="AC45" s="98"/>
      <c r="AD45" s="98"/>
      <c r="AE45" s="576"/>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7"/>
    </row>
    <row r="46" spans="1:55" x14ac:dyDescent="0.2">
      <c r="A46" s="576"/>
      <c r="B46" s="98"/>
      <c r="C46" s="98"/>
      <c r="D46" s="98"/>
      <c r="E46" s="576"/>
      <c r="F46" s="576"/>
      <c r="G46" s="576"/>
      <c r="H46" s="576"/>
      <c r="I46" s="576"/>
      <c r="J46" s="576"/>
      <c r="K46" s="576"/>
      <c r="L46" s="576"/>
      <c r="M46" s="576"/>
      <c r="N46" s="576"/>
      <c r="O46" s="576"/>
      <c r="P46" s="576"/>
      <c r="Q46" s="576"/>
      <c r="R46" s="576"/>
      <c r="S46" s="576"/>
      <c r="T46" s="576"/>
      <c r="U46" s="576"/>
      <c r="V46" s="576"/>
      <c r="W46" s="576"/>
      <c r="X46" s="576"/>
      <c r="Y46" s="98"/>
      <c r="Z46" s="98"/>
      <c r="AA46" s="98"/>
      <c r="AB46" s="98"/>
      <c r="AC46" s="98"/>
      <c r="AD46" s="98"/>
      <c r="AE46" s="576"/>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7"/>
    </row>
    <row r="47" spans="1:55" x14ac:dyDescent="0.2">
      <c r="A47" s="576"/>
      <c r="B47" s="98"/>
      <c r="C47" s="98"/>
      <c r="D47" s="98"/>
      <c r="E47" s="576"/>
      <c r="F47" s="576"/>
      <c r="G47" s="576"/>
      <c r="H47" s="576"/>
      <c r="I47" s="576"/>
      <c r="J47" s="576"/>
      <c r="K47" s="576"/>
      <c r="L47" s="576"/>
      <c r="M47" s="576"/>
      <c r="N47" s="576"/>
      <c r="O47" s="576"/>
      <c r="P47" s="576"/>
      <c r="Q47" s="576"/>
      <c r="R47" s="576"/>
      <c r="S47" s="576"/>
      <c r="T47" s="576"/>
      <c r="U47" s="576"/>
      <c r="V47" s="576"/>
      <c r="W47" s="576"/>
      <c r="X47" s="576"/>
      <c r="Y47" s="98"/>
      <c r="Z47" s="98"/>
      <c r="AA47" s="98"/>
      <c r="AB47" s="98"/>
      <c r="AC47" s="98"/>
      <c r="AD47" s="98"/>
      <c r="AE47" s="576"/>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7"/>
    </row>
    <row r="48" spans="1:55" x14ac:dyDescent="0.2">
      <c r="A48" s="576"/>
      <c r="B48" s="98"/>
      <c r="C48" s="98"/>
      <c r="D48" s="98"/>
      <c r="E48" s="576"/>
      <c r="F48" s="576"/>
      <c r="G48" s="576"/>
      <c r="H48" s="576"/>
      <c r="I48" s="576"/>
      <c r="J48" s="576"/>
      <c r="K48" s="576"/>
      <c r="L48" s="576"/>
      <c r="M48" s="576"/>
      <c r="N48" s="576"/>
      <c r="O48" s="576"/>
      <c r="P48" s="576"/>
      <c r="Q48" s="576"/>
      <c r="R48" s="576"/>
      <c r="S48" s="576"/>
      <c r="T48" s="576"/>
      <c r="U48" s="576"/>
      <c r="V48" s="576"/>
      <c r="W48" s="576"/>
      <c r="X48" s="576"/>
      <c r="Y48" s="98"/>
      <c r="Z48" s="98"/>
      <c r="AA48" s="98"/>
      <c r="AB48" s="98"/>
      <c r="AC48" s="98"/>
      <c r="AD48" s="98"/>
      <c r="AE48" s="576"/>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7"/>
    </row>
    <row r="49" spans="1:55" x14ac:dyDescent="0.2">
      <c r="A49" s="576"/>
      <c r="B49" s="98"/>
      <c r="C49" s="98"/>
      <c r="D49" s="98"/>
      <c r="E49" s="576"/>
      <c r="F49" s="576"/>
      <c r="G49" s="576"/>
      <c r="H49" s="576"/>
      <c r="I49" s="576"/>
      <c r="J49" s="576"/>
      <c r="K49" s="576"/>
      <c r="L49" s="576"/>
      <c r="M49" s="576"/>
      <c r="N49" s="576"/>
      <c r="O49" s="576"/>
      <c r="P49" s="576"/>
      <c r="Q49" s="576"/>
      <c r="R49" s="576"/>
      <c r="S49" s="576"/>
      <c r="T49" s="576"/>
      <c r="U49" s="576"/>
      <c r="V49" s="576"/>
      <c r="W49" s="576"/>
      <c r="X49" s="576"/>
      <c r="Y49" s="98"/>
      <c r="Z49" s="98"/>
      <c r="AA49" s="98"/>
      <c r="AB49" s="98"/>
      <c r="AC49" s="98"/>
      <c r="AD49" s="98"/>
      <c r="AE49" s="576"/>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7"/>
    </row>
    <row r="50" spans="1:55" x14ac:dyDescent="0.2">
      <c r="A50" s="576"/>
      <c r="B50" s="98"/>
      <c r="C50" s="98"/>
      <c r="D50" s="98"/>
      <c r="E50" s="576"/>
      <c r="F50" s="576"/>
      <c r="G50" s="576"/>
      <c r="H50" s="576"/>
      <c r="I50" s="576"/>
      <c r="J50" s="576"/>
      <c r="K50" s="576"/>
      <c r="L50" s="576"/>
      <c r="M50" s="576"/>
      <c r="N50" s="576"/>
      <c r="O50" s="576"/>
      <c r="P50" s="576"/>
      <c r="Q50" s="576"/>
      <c r="R50" s="576"/>
      <c r="S50" s="576"/>
      <c r="T50" s="576"/>
      <c r="U50" s="576"/>
      <c r="V50" s="576"/>
      <c r="W50" s="576"/>
      <c r="X50" s="576"/>
      <c r="Y50" s="98"/>
      <c r="Z50" s="98"/>
      <c r="AA50" s="98"/>
      <c r="AB50" s="98"/>
      <c r="AC50" s="98"/>
      <c r="AD50" s="98"/>
      <c r="AE50" s="576"/>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7"/>
    </row>
    <row r="51" spans="1:55" x14ac:dyDescent="0.2">
      <c r="A51" s="576"/>
      <c r="B51" s="98"/>
      <c r="C51" s="98"/>
      <c r="D51" s="98"/>
      <c r="E51" s="576"/>
      <c r="F51" s="576"/>
      <c r="G51" s="576"/>
      <c r="H51" s="576"/>
      <c r="I51" s="576"/>
      <c r="J51" s="576"/>
      <c r="K51" s="576"/>
      <c r="L51" s="576"/>
      <c r="M51" s="576"/>
      <c r="N51" s="576"/>
      <c r="O51" s="576"/>
      <c r="P51" s="576"/>
      <c r="Q51" s="576"/>
      <c r="R51" s="576"/>
      <c r="S51" s="576"/>
      <c r="T51" s="576"/>
      <c r="U51" s="576"/>
      <c r="V51" s="576"/>
      <c r="W51" s="576"/>
      <c r="X51" s="576"/>
      <c r="Y51" s="98"/>
      <c r="Z51" s="98"/>
      <c r="AA51" s="98"/>
      <c r="AB51" s="98"/>
      <c r="AC51" s="98"/>
      <c r="AD51" s="98"/>
      <c r="AE51" s="576"/>
      <c r="AF51" s="576"/>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7"/>
    </row>
    <row r="52" spans="1:55" x14ac:dyDescent="0.2">
      <c r="A52" s="576"/>
      <c r="B52" s="98"/>
      <c r="C52" s="98"/>
      <c r="D52" s="98"/>
      <c r="E52" s="576"/>
      <c r="F52" s="576"/>
      <c r="G52" s="576"/>
      <c r="H52" s="576"/>
      <c r="I52" s="576"/>
      <c r="J52" s="576"/>
      <c r="K52" s="576"/>
      <c r="L52" s="576"/>
      <c r="M52" s="576"/>
      <c r="N52" s="576"/>
      <c r="O52" s="576"/>
      <c r="P52" s="576"/>
      <c r="Q52" s="576"/>
      <c r="R52" s="576"/>
      <c r="S52" s="576"/>
      <c r="T52" s="576"/>
      <c r="U52" s="576"/>
      <c r="V52" s="576"/>
      <c r="W52" s="576"/>
      <c r="X52" s="576"/>
      <c r="Y52" s="98"/>
      <c r="Z52" s="98"/>
      <c r="AA52" s="98"/>
      <c r="AB52" s="98"/>
      <c r="AC52" s="98"/>
      <c r="AD52" s="98"/>
      <c r="AE52" s="576"/>
      <c r="AF52" s="576"/>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7"/>
    </row>
    <row r="53" spans="1:55" x14ac:dyDescent="0.2">
      <c r="A53" s="576"/>
      <c r="B53" s="98"/>
      <c r="C53" s="98"/>
      <c r="D53" s="98"/>
      <c r="E53" s="576"/>
      <c r="F53" s="576"/>
      <c r="G53" s="576"/>
      <c r="H53" s="576"/>
      <c r="I53" s="576"/>
      <c r="J53" s="576"/>
      <c r="K53" s="576"/>
      <c r="L53" s="576"/>
      <c r="M53" s="576"/>
      <c r="N53" s="576"/>
      <c r="O53" s="576"/>
      <c r="P53" s="576"/>
      <c r="Q53" s="576"/>
      <c r="R53" s="576"/>
      <c r="S53" s="576"/>
      <c r="T53" s="576"/>
      <c r="U53" s="576"/>
      <c r="V53" s="576"/>
      <c r="W53" s="576"/>
      <c r="X53" s="576"/>
      <c r="Y53" s="98"/>
      <c r="Z53" s="98"/>
      <c r="AA53" s="98"/>
      <c r="AB53" s="98"/>
      <c r="AC53" s="98"/>
      <c r="AD53" s="98"/>
      <c r="AE53" s="576"/>
      <c r="AF53" s="576"/>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7"/>
    </row>
    <row r="54" spans="1:55" x14ac:dyDescent="0.2">
      <c r="A54" s="576"/>
      <c r="B54" s="98"/>
      <c r="C54" s="98"/>
      <c r="D54" s="98"/>
      <c r="E54" s="576"/>
      <c r="F54" s="576"/>
      <c r="G54" s="576"/>
      <c r="H54" s="576"/>
      <c r="I54" s="576"/>
      <c r="J54" s="576"/>
      <c r="K54" s="576"/>
      <c r="L54" s="576"/>
      <c r="M54" s="576"/>
      <c r="N54" s="576"/>
      <c r="O54" s="576"/>
      <c r="P54" s="576"/>
      <c r="Q54" s="576"/>
      <c r="R54" s="576"/>
      <c r="S54" s="576"/>
      <c r="T54" s="576"/>
      <c r="U54" s="576"/>
      <c r="V54" s="576"/>
      <c r="W54" s="576"/>
      <c r="X54" s="576"/>
      <c r="Y54" s="98"/>
      <c r="Z54" s="98"/>
      <c r="AA54" s="98"/>
      <c r="AB54" s="98"/>
      <c r="AC54" s="98"/>
      <c r="AD54" s="98"/>
      <c r="AE54" s="576"/>
      <c r="AF54" s="576"/>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7"/>
    </row>
    <row r="55" spans="1:55" x14ac:dyDescent="0.2">
      <c r="A55" s="576"/>
      <c r="B55" s="98"/>
      <c r="C55" s="98"/>
      <c r="D55" s="98"/>
      <c r="E55" s="576"/>
      <c r="F55" s="576"/>
      <c r="G55" s="576"/>
      <c r="H55" s="576"/>
      <c r="I55" s="576"/>
      <c r="J55" s="576"/>
      <c r="K55" s="576"/>
      <c r="L55" s="576"/>
      <c r="M55" s="576"/>
      <c r="N55" s="576"/>
      <c r="O55" s="576"/>
      <c r="P55" s="576"/>
      <c r="Q55" s="576"/>
      <c r="R55" s="576"/>
      <c r="S55" s="576"/>
      <c r="T55" s="576"/>
      <c r="U55" s="576"/>
      <c r="V55" s="576"/>
      <c r="W55" s="576"/>
      <c r="X55" s="576"/>
      <c r="Y55" s="98"/>
      <c r="Z55" s="98"/>
      <c r="AA55" s="98"/>
      <c r="AB55" s="98"/>
      <c r="AC55" s="98"/>
      <c r="AD55" s="98"/>
      <c r="AE55" s="576"/>
      <c r="AF55" s="576"/>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7"/>
    </row>
    <row r="56" spans="1:55" x14ac:dyDescent="0.2">
      <c r="A56" s="576"/>
      <c r="B56" s="98"/>
      <c r="C56" s="98"/>
      <c r="D56" s="98"/>
      <c r="E56" s="576"/>
      <c r="F56" s="576"/>
      <c r="G56" s="576"/>
      <c r="H56" s="576"/>
      <c r="I56" s="576"/>
      <c r="J56" s="576"/>
      <c r="K56" s="576"/>
      <c r="L56" s="576"/>
      <c r="M56" s="576"/>
      <c r="N56" s="576"/>
      <c r="O56" s="576"/>
      <c r="P56" s="576"/>
      <c r="Q56" s="576"/>
      <c r="R56" s="576"/>
      <c r="S56" s="576"/>
      <c r="T56" s="576"/>
      <c r="U56" s="576"/>
      <c r="V56" s="576"/>
      <c r="W56" s="576"/>
      <c r="X56" s="576"/>
      <c r="Y56" s="98"/>
      <c r="Z56" s="98"/>
      <c r="AA56" s="98"/>
      <c r="AB56" s="98"/>
      <c r="AC56" s="98"/>
      <c r="AD56" s="98"/>
      <c r="AE56" s="576"/>
      <c r="AF56" s="576"/>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7"/>
    </row>
    <row r="57" spans="1:55" x14ac:dyDescent="0.2">
      <c r="A57" s="576"/>
      <c r="B57" s="98"/>
      <c r="C57" s="98"/>
      <c r="D57" s="98"/>
      <c r="E57" s="576"/>
      <c r="F57" s="576"/>
      <c r="G57" s="576"/>
      <c r="H57" s="576"/>
      <c r="I57" s="576"/>
      <c r="J57" s="576"/>
      <c r="K57" s="576"/>
      <c r="L57" s="576"/>
      <c r="M57" s="576"/>
      <c r="N57" s="576"/>
      <c r="O57" s="576"/>
      <c r="P57" s="576"/>
      <c r="Q57" s="576"/>
      <c r="R57" s="576"/>
      <c r="S57" s="576"/>
      <c r="T57" s="576"/>
      <c r="U57" s="576"/>
      <c r="V57" s="576"/>
      <c r="W57" s="576"/>
      <c r="X57" s="576"/>
      <c r="Y57" s="98"/>
      <c r="Z57" s="98"/>
      <c r="AA57" s="98"/>
      <c r="AB57" s="98"/>
      <c r="AC57" s="98"/>
      <c r="AD57" s="98"/>
      <c r="AE57" s="576"/>
      <c r="AF57" s="576"/>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7"/>
    </row>
    <row r="58" spans="1:55" x14ac:dyDescent="0.2">
      <c r="A58" s="576"/>
      <c r="B58" s="98"/>
      <c r="C58" s="98"/>
      <c r="D58" s="98"/>
      <c r="E58" s="576"/>
      <c r="F58" s="576"/>
      <c r="G58" s="576"/>
      <c r="H58" s="576"/>
      <c r="I58" s="576"/>
      <c r="J58" s="576"/>
      <c r="K58" s="576"/>
      <c r="L58" s="576"/>
      <c r="M58" s="576"/>
      <c r="N58" s="576"/>
      <c r="O58" s="576"/>
      <c r="P58" s="576"/>
      <c r="Q58" s="576"/>
      <c r="R58" s="576"/>
      <c r="S58" s="576"/>
      <c r="T58" s="576"/>
      <c r="U58" s="576"/>
      <c r="V58" s="576"/>
      <c r="W58" s="576"/>
      <c r="X58" s="576"/>
      <c r="Y58" s="98"/>
      <c r="Z58" s="98"/>
      <c r="AA58" s="98"/>
      <c r="AB58" s="98"/>
      <c r="AC58" s="98"/>
      <c r="AD58" s="98"/>
      <c r="AE58" s="576"/>
      <c r="AF58" s="576"/>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7"/>
    </row>
    <row r="59" spans="1:55" x14ac:dyDescent="0.2">
      <c r="A59" s="576"/>
      <c r="B59" s="98"/>
      <c r="C59" s="98"/>
      <c r="D59" s="98"/>
      <c r="E59" s="576"/>
      <c r="F59" s="576"/>
      <c r="G59" s="576"/>
      <c r="H59" s="576"/>
      <c r="I59" s="576"/>
      <c r="J59" s="576"/>
      <c r="K59" s="576"/>
      <c r="L59" s="576"/>
      <c r="M59" s="576"/>
      <c r="N59" s="576"/>
      <c r="O59" s="576"/>
      <c r="P59" s="576"/>
      <c r="Q59" s="576"/>
      <c r="R59" s="576"/>
      <c r="S59" s="576"/>
      <c r="T59" s="576"/>
      <c r="U59" s="576"/>
      <c r="V59" s="576"/>
      <c r="W59" s="576"/>
      <c r="X59" s="576"/>
      <c r="Y59" s="98"/>
      <c r="Z59" s="98"/>
      <c r="AA59" s="98"/>
      <c r="AB59" s="98"/>
      <c r="AC59" s="98"/>
      <c r="AD59" s="98"/>
      <c r="AE59" s="576"/>
      <c r="AF59" s="576"/>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7"/>
    </row>
    <row r="60" spans="1:55" x14ac:dyDescent="0.2">
      <c r="A60" s="576"/>
      <c r="B60" s="98"/>
      <c r="C60" s="98"/>
      <c r="D60" s="98"/>
      <c r="E60" s="576"/>
      <c r="F60" s="576"/>
      <c r="G60" s="576"/>
      <c r="H60" s="576"/>
      <c r="I60" s="576"/>
      <c r="J60" s="576"/>
      <c r="K60" s="576"/>
      <c r="L60" s="576"/>
      <c r="M60" s="576"/>
      <c r="N60" s="576"/>
      <c r="O60" s="576"/>
      <c r="P60" s="576"/>
      <c r="Q60" s="576"/>
      <c r="R60" s="576"/>
      <c r="S60" s="576"/>
      <c r="T60" s="576"/>
      <c r="U60" s="576"/>
      <c r="V60" s="576"/>
      <c r="W60" s="576"/>
      <c r="X60" s="576"/>
      <c r="Y60" s="98"/>
      <c r="Z60" s="98"/>
      <c r="AA60" s="98"/>
      <c r="AB60" s="98"/>
      <c r="AC60" s="98"/>
      <c r="AD60" s="98"/>
      <c r="AE60" s="576"/>
      <c r="AF60" s="576"/>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7"/>
    </row>
    <row r="61" spans="1:55" x14ac:dyDescent="0.2">
      <c r="A61" s="576"/>
      <c r="B61" s="98"/>
      <c r="C61" s="98"/>
      <c r="D61" s="98"/>
      <c r="E61" s="576"/>
      <c r="F61" s="576"/>
      <c r="G61" s="576"/>
      <c r="H61" s="576"/>
      <c r="I61" s="576"/>
      <c r="J61" s="576"/>
      <c r="K61" s="576"/>
      <c r="L61" s="576"/>
      <c r="M61" s="576"/>
      <c r="N61" s="576"/>
      <c r="O61" s="576"/>
      <c r="P61" s="576"/>
      <c r="Q61" s="576"/>
      <c r="R61" s="576"/>
      <c r="S61" s="576"/>
      <c r="T61" s="576"/>
      <c r="U61" s="576"/>
      <c r="V61" s="576"/>
      <c r="W61" s="576"/>
      <c r="X61" s="576"/>
      <c r="Y61" s="98"/>
      <c r="Z61" s="98"/>
      <c r="AA61" s="98"/>
      <c r="AB61" s="98"/>
      <c r="AC61" s="98"/>
      <c r="AD61" s="98"/>
      <c r="AE61" s="576"/>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7"/>
    </row>
    <row r="62" spans="1:55" x14ac:dyDescent="0.2">
      <c r="A62" s="576"/>
      <c r="B62" s="98"/>
      <c r="C62" s="98"/>
      <c r="D62" s="98"/>
      <c r="E62" s="576"/>
      <c r="F62" s="576"/>
      <c r="G62" s="576"/>
      <c r="H62" s="576"/>
      <c r="I62" s="576"/>
      <c r="J62" s="576"/>
      <c r="K62" s="576"/>
      <c r="L62" s="576"/>
      <c r="M62" s="576"/>
      <c r="N62" s="576"/>
      <c r="O62" s="576"/>
      <c r="P62" s="576"/>
      <c r="Q62" s="576"/>
      <c r="R62" s="576"/>
      <c r="S62" s="576"/>
      <c r="T62" s="576"/>
      <c r="U62" s="576"/>
      <c r="V62" s="576"/>
      <c r="W62" s="576"/>
      <c r="X62" s="576"/>
      <c r="Y62" s="98"/>
      <c r="Z62" s="98"/>
      <c r="AA62" s="98"/>
      <c r="AB62" s="98"/>
      <c r="AC62" s="98"/>
      <c r="AD62" s="98"/>
      <c r="AE62" s="576"/>
      <c r="AF62" s="576"/>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7"/>
    </row>
    <row r="63" spans="1:55" x14ac:dyDescent="0.2">
      <c r="A63" s="576"/>
      <c r="B63" s="98"/>
      <c r="C63" s="98"/>
      <c r="D63" s="98"/>
      <c r="E63" s="576"/>
      <c r="F63" s="576"/>
      <c r="G63" s="576"/>
      <c r="H63" s="576"/>
      <c r="I63" s="576"/>
      <c r="J63" s="576"/>
      <c r="K63" s="576"/>
      <c r="L63" s="576"/>
      <c r="M63" s="576"/>
      <c r="N63" s="576"/>
      <c r="O63" s="576"/>
      <c r="P63" s="576"/>
      <c r="Q63" s="576"/>
      <c r="R63" s="576"/>
      <c r="S63" s="576"/>
      <c r="T63" s="576"/>
      <c r="U63" s="576"/>
      <c r="V63" s="576"/>
      <c r="W63" s="576"/>
      <c r="X63" s="576"/>
      <c r="Y63" s="98"/>
      <c r="Z63" s="98"/>
      <c r="AA63" s="98"/>
      <c r="AB63" s="98"/>
      <c r="AC63" s="98"/>
      <c r="AD63" s="98"/>
      <c r="AE63" s="576"/>
      <c r="AF63" s="576"/>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7"/>
    </row>
    <row r="64" spans="1:55" x14ac:dyDescent="0.2">
      <c r="A64" s="576"/>
      <c r="B64" s="98"/>
      <c r="C64" s="98"/>
      <c r="D64" s="98"/>
      <c r="E64" s="576"/>
      <c r="F64" s="576"/>
      <c r="G64" s="576"/>
      <c r="H64" s="576"/>
      <c r="I64" s="576"/>
      <c r="J64" s="576"/>
      <c r="K64" s="576"/>
      <c r="L64" s="576"/>
      <c r="M64" s="576"/>
      <c r="N64" s="576"/>
      <c r="O64" s="576"/>
      <c r="P64" s="576"/>
      <c r="Q64" s="576"/>
      <c r="R64" s="576"/>
      <c r="S64" s="576"/>
      <c r="T64" s="576"/>
      <c r="U64" s="576"/>
      <c r="V64" s="576"/>
      <c r="W64" s="576"/>
      <c r="X64" s="576"/>
      <c r="Y64" s="98"/>
      <c r="Z64" s="98"/>
      <c r="AA64" s="98"/>
      <c r="AB64" s="98"/>
      <c r="AC64" s="98"/>
      <c r="AD64" s="98"/>
      <c r="AE64" s="576"/>
      <c r="AF64" s="576"/>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7"/>
    </row>
    <row r="65" spans="1:55" x14ac:dyDescent="0.2">
      <c r="A65" s="576"/>
      <c r="B65" s="98"/>
      <c r="C65" s="98"/>
      <c r="D65" s="98"/>
      <c r="E65" s="576"/>
      <c r="F65" s="576"/>
      <c r="G65" s="576"/>
      <c r="H65" s="576"/>
      <c r="I65" s="576"/>
      <c r="J65" s="576"/>
      <c r="K65" s="576"/>
      <c r="L65" s="576"/>
      <c r="M65" s="576"/>
      <c r="N65" s="576"/>
      <c r="O65" s="576"/>
      <c r="P65" s="576"/>
      <c r="Q65" s="576"/>
      <c r="R65" s="576"/>
      <c r="S65" s="576"/>
      <c r="T65" s="576"/>
      <c r="U65" s="576"/>
      <c r="V65" s="576"/>
      <c r="W65" s="576"/>
      <c r="X65" s="576"/>
      <c r="Y65" s="98"/>
      <c r="Z65" s="98"/>
      <c r="AA65" s="98"/>
      <c r="AB65" s="98"/>
      <c r="AC65" s="98"/>
      <c r="AD65" s="98"/>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7"/>
    </row>
    <row r="66" spans="1:55" x14ac:dyDescent="0.2">
      <c r="A66" s="576"/>
      <c r="B66" s="98"/>
      <c r="C66" s="98"/>
      <c r="D66" s="98"/>
      <c r="E66" s="576"/>
      <c r="F66" s="576"/>
      <c r="G66" s="576"/>
      <c r="H66" s="576"/>
      <c r="I66" s="576"/>
      <c r="J66" s="576"/>
      <c r="K66" s="576"/>
      <c r="L66" s="576"/>
      <c r="M66" s="576"/>
      <c r="N66" s="576"/>
      <c r="O66" s="576"/>
      <c r="P66" s="576"/>
      <c r="Q66" s="576"/>
      <c r="R66" s="576"/>
      <c r="S66" s="576"/>
      <c r="T66" s="576"/>
      <c r="U66" s="576"/>
      <c r="V66" s="576"/>
      <c r="W66" s="576"/>
      <c r="X66" s="576"/>
      <c r="Y66" s="98"/>
      <c r="Z66" s="98"/>
      <c r="AA66" s="98"/>
      <c r="AB66" s="98"/>
      <c r="AC66" s="98"/>
      <c r="AD66" s="98"/>
      <c r="AE66" s="576"/>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7"/>
    </row>
    <row r="67" spans="1:55" x14ac:dyDescent="0.2">
      <c r="A67" s="576"/>
      <c r="B67" s="98"/>
      <c r="C67" s="98"/>
      <c r="D67" s="98"/>
      <c r="E67" s="576"/>
      <c r="F67" s="576"/>
      <c r="G67" s="576"/>
      <c r="H67" s="576"/>
      <c r="I67" s="576"/>
      <c r="J67" s="576"/>
      <c r="K67" s="576"/>
      <c r="L67" s="576"/>
      <c r="M67" s="576"/>
      <c r="N67" s="576"/>
      <c r="O67" s="576"/>
      <c r="P67" s="576"/>
      <c r="Q67" s="576"/>
      <c r="R67" s="576"/>
      <c r="S67" s="576"/>
      <c r="T67" s="576"/>
      <c r="U67" s="576"/>
      <c r="V67" s="576"/>
      <c r="W67" s="576"/>
      <c r="X67" s="576"/>
      <c r="Y67" s="98"/>
      <c r="Z67" s="98"/>
      <c r="AA67" s="98"/>
      <c r="AB67" s="98"/>
      <c r="AC67" s="98"/>
      <c r="AD67" s="98"/>
      <c r="AE67" s="576"/>
      <c r="AF67" s="576"/>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7"/>
    </row>
    <row r="68" spans="1:55" x14ac:dyDescent="0.2">
      <c r="A68" s="576"/>
      <c r="B68" s="98"/>
      <c r="C68" s="98"/>
      <c r="D68" s="98"/>
      <c r="E68" s="576"/>
      <c r="F68" s="576"/>
      <c r="G68" s="576"/>
      <c r="H68" s="576"/>
      <c r="I68" s="576"/>
      <c r="J68" s="576"/>
      <c r="K68" s="576"/>
      <c r="L68" s="576"/>
      <c r="M68" s="576"/>
      <c r="N68" s="576"/>
      <c r="O68" s="576"/>
      <c r="P68" s="576"/>
      <c r="Q68" s="576"/>
      <c r="R68" s="576"/>
      <c r="S68" s="576"/>
      <c r="T68" s="576"/>
      <c r="U68" s="576"/>
      <c r="V68" s="576"/>
      <c r="W68" s="576"/>
      <c r="X68" s="576"/>
      <c r="Y68" s="98"/>
      <c r="Z68" s="98"/>
      <c r="AA68" s="98"/>
      <c r="AB68" s="98"/>
      <c r="AC68" s="98"/>
      <c r="AD68" s="98"/>
      <c r="AE68" s="576"/>
      <c r="AF68" s="576"/>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7"/>
    </row>
    <row r="69" spans="1:55" x14ac:dyDescent="0.2">
      <c r="A69" s="576"/>
      <c r="B69" s="98"/>
      <c r="C69" s="98"/>
      <c r="D69" s="98"/>
      <c r="E69" s="576"/>
      <c r="F69" s="576"/>
      <c r="G69" s="576"/>
      <c r="H69" s="576"/>
      <c r="I69" s="576"/>
      <c r="J69" s="576"/>
      <c r="K69" s="576"/>
      <c r="L69" s="576"/>
      <c r="M69" s="576"/>
      <c r="N69" s="576"/>
      <c r="O69" s="576"/>
      <c r="P69" s="576"/>
      <c r="Q69" s="576"/>
      <c r="R69" s="576"/>
      <c r="S69" s="576"/>
      <c r="T69" s="576"/>
      <c r="U69" s="576"/>
      <c r="V69" s="576"/>
      <c r="W69" s="576"/>
      <c r="X69" s="576"/>
      <c r="Y69" s="98"/>
      <c r="Z69" s="98"/>
      <c r="AA69" s="98"/>
      <c r="AB69" s="98"/>
      <c r="AC69" s="98"/>
      <c r="AD69" s="98"/>
      <c r="AE69" s="576"/>
      <c r="AF69" s="576"/>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7"/>
    </row>
    <row r="70" spans="1:55" x14ac:dyDescent="0.2">
      <c r="A70" s="576"/>
      <c r="B70" s="98"/>
      <c r="C70" s="98"/>
      <c r="D70" s="98"/>
      <c r="E70" s="576"/>
      <c r="F70" s="576"/>
      <c r="G70" s="576"/>
      <c r="H70" s="576"/>
      <c r="I70" s="576"/>
      <c r="J70" s="576"/>
      <c r="K70" s="576"/>
      <c r="L70" s="576"/>
      <c r="M70" s="576"/>
      <c r="N70" s="576"/>
      <c r="O70" s="576"/>
      <c r="P70" s="576"/>
      <c r="Q70" s="576"/>
      <c r="R70" s="576"/>
      <c r="S70" s="576"/>
      <c r="T70" s="576"/>
      <c r="U70" s="576"/>
      <c r="V70" s="576"/>
      <c r="W70" s="576"/>
      <c r="X70" s="576"/>
      <c r="Y70" s="98"/>
      <c r="Z70" s="98"/>
      <c r="AA70" s="98"/>
      <c r="AB70" s="98"/>
      <c r="AC70" s="98"/>
      <c r="AD70" s="98"/>
      <c r="AE70" s="576"/>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7"/>
    </row>
    <row r="71" spans="1:55" x14ac:dyDescent="0.2">
      <c r="A71" s="576"/>
      <c r="B71" s="98"/>
      <c r="C71" s="98"/>
      <c r="D71" s="98"/>
      <c r="E71" s="576"/>
      <c r="F71" s="576"/>
      <c r="G71" s="576"/>
      <c r="H71" s="576"/>
      <c r="I71" s="576"/>
      <c r="J71" s="576"/>
      <c r="K71" s="576"/>
      <c r="L71" s="576"/>
      <c r="M71" s="576"/>
      <c r="N71" s="576"/>
      <c r="O71" s="576"/>
      <c r="P71" s="576"/>
      <c r="Q71" s="576"/>
      <c r="R71" s="576"/>
      <c r="S71" s="576"/>
      <c r="T71" s="576"/>
      <c r="U71" s="576"/>
      <c r="V71" s="576"/>
      <c r="W71" s="576"/>
      <c r="X71" s="576"/>
      <c r="Y71" s="98"/>
      <c r="Z71" s="98"/>
      <c r="AA71" s="98"/>
      <c r="AB71" s="98"/>
      <c r="AC71" s="98"/>
      <c r="AD71" s="98"/>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7"/>
    </row>
    <row r="72" spans="1:55" x14ac:dyDescent="0.2">
      <c r="A72" s="576"/>
      <c r="B72" s="98"/>
      <c r="C72" s="98"/>
      <c r="D72" s="98"/>
      <c r="E72" s="576"/>
      <c r="F72" s="576"/>
      <c r="G72" s="576"/>
      <c r="H72" s="576"/>
      <c r="I72" s="576"/>
      <c r="J72" s="576"/>
      <c r="K72" s="576"/>
      <c r="L72" s="576"/>
      <c r="M72" s="576"/>
      <c r="N72" s="576"/>
      <c r="O72" s="576"/>
      <c r="P72" s="576"/>
      <c r="Q72" s="576"/>
      <c r="R72" s="576"/>
      <c r="S72" s="576"/>
      <c r="T72" s="576"/>
      <c r="U72" s="576"/>
      <c r="V72" s="576"/>
      <c r="W72" s="576"/>
      <c r="X72" s="576"/>
      <c r="Y72" s="98"/>
      <c r="Z72" s="98"/>
      <c r="AA72" s="98"/>
      <c r="AB72" s="98"/>
      <c r="AC72" s="98"/>
      <c r="AD72" s="98"/>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7"/>
    </row>
    <row r="73" spans="1:55" x14ac:dyDescent="0.2">
      <c r="A73" s="576"/>
      <c r="B73" s="98"/>
      <c r="C73" s="98"/>
      <c r="D73" s="98"/>
      <c r="E73" s="576"/>
      <c r="F73" s="576"/>
      <c r="G73" s="576"/>
      <c r="H73" s="576"/>
      <c r="I73" s="576"/>
      <c r="J73" s="576"/>
      <c r="K73" s="576"/>
      <c r="L73" s="576"/>
      <c r="M73" s="576"/>
      <c r="N73" s="576"/>
      <c r="O73" s="576"/>
      <c r="P73" s="576"/>
      <c r="Q73" s="576"/>
      <c r="R73" s="576"/>
      <c r="S73" s="576"/>
      <c r="T73" s="576"/>
      <c r="U73" s="576"/>
      <c r="V73" s="576"/>
      <c r="W73" s="576"/>
      <c r="X73" s="576"/>
      <c r="Y73" s="98"/>
      <c r="Z73" s="98"/>
      <c r="AA73" s="98"/>
      <c r="AB73" s="98"/>
      <c r="AC73" s="98"/>
      <c r="AD73" s="98"/>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7"/>
    </row>
    <row r="74" spans="1:55" x14ac:dyDescent="0.2">
      <c r="A74" s="576"/>
      <c r="B74" s="98"/>
      <c r="C74" s="98"/>
      <c r="D74" s="98"/>
      <c r="E74" s="576"/>
      <c r="F74" s="576"/>
      <c r="G74" s="576"/>
      <c r="H74" s="576"/>
      <c r="I74" s="576"/>
      <c r="J74" s="576"/>
      <c r="K74" s="576"/>
      <c r="L74" s="576"/>
      <c r="M74" s="576"/>
      <c r="N74" s="576"/>
      <c r="O74" s="576"/>
      <c r="P74" s="576"/>
      <c r="Q74" s="576"/>
      <c r="R74" s="576"/>
      <c r="S74" s="576"/>
      <c r="T74" s="576"/>
      <c r="U74" s="576"/>
      <c r="V74" s="576"/>
      <c r="W74" s="576"/>
      <c r="X74" s="576"/>
      <c r="Y74" s="98"/>
      <c r="Z74" s="98"/>
      <c r="AA74" s="98"/>
      <c r="AB74" s="98"/>
      <c r="AC74" s="98"/>
      <c r="AD74" s="98"/>
      <c r="AE74" s="576"/>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7"/>
    </row>
    <row r="75" spans="1:55" x14ac:dyDescent="0.2">
      <c r="A75" s="576"/>
      <c r="B75" s="98"/>
      <c r="C75" s="98"/>
      <c r="D75" s="98"/>
      <c r="E75" s="576"/>
      <c r="F75" s="576"/>
      <c r="G75" s="576"/>
      <c r="H75" s="576"/>
      <c r="I75" s="576"/>
      <c r="J75" s="576"/>
      <c r="K75" s="576"/>
      <c r="L75" s="576"/>
      <c r="M75" s="576"/>
      <c r="N75" s="576"/>
      <c r="O75" s="576"/>
      <c r="P75" s="576"/>
      <c r="Q75" s="576"/>
      <c r="R75" s="576"/>
      <c r="S75" s="576"/>
      <c r="T75" s="576"/>
      <c r="U75" s="576"/>
      <c r="V75" s="576"/>
      <c r="W75" s="576"/>
      <c r="X75" s="576"/>
      <c r="Y75" s="98"/>
      <c r="Z75" s="98"/>
      <c r="AA75" s="98"/>
      <c r="AB75" s="98"/>
      <c r="AC75" s="98"/>
      <c r="AD75" s="98"/>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7"/>
    </row>
    <row r="76" spans="1:55" x14ac:dyDescent="0.2">
      <c r="A76" s="576"/>
      <c r="B76" s="98"/>
      <c r="C76" s="98"/>
      <c r="D76" s="98"/>
      <c r="E76" s="576"/>
      <c r="F76" s="576"/>
      <c r="G76" s="576"/>
      <c r="H76" s="576"/>
      <c r="I76" s="576"/>
      <c r="J76" s="576"/>
      <c r="K76" s="576"/>
      <c r="L76" s="576"/>
      <c r="M76" s="576"/>
      <c r="N76" s="576"/>
      <c r="O76" s="576"/>
      <c r="P76" s="576"/>
      <c r="Q76" s="576"/>
      <c r="R76" s="576"/>
      <c r="S76" s="576"/>
      <c r="T76" s="576"/>
      <c r="U76" s="576"/>
      <c r="V76" s="576"/>
      <c r="W76" s="576"/>
      <c r="X76" s="576"/>
      <c r="Y76" s="98"/>
      <c r="Z76" s="98"/>
      <c r="AA76" s="98"/>
      <c r="AB76" s="98"/>
      <c r="AC76" s="98"/>
      <c r="AD76" s="98"/>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7"/>
    </row>
    <row r="77" spans="1:55" x14ac:dyDescent="0.2">
      <c r="A77" s="576"/>
      <c r="B77" s="98"/>
      <c r="C77" s="98"/>
      <c r="D77" s="98"/>
      <c r="E77" s="576"/>
      <c r="F77" s="576"/>
      <c r="G77" s="576"/>
      <c r="H77" s="576"/>
      <c r="I77" s="576"/>
      <c r="J77" s="576"/>
      <c r="K77" s="576"/>
      <c r="L77" s="576"/>
      <c r="M77" s="576"/>
      <c r="N77" s="576"/>
      <c r="O77" s="576"/>
      <c r="P77" s="576"/>
      <c r="Q77" s="576"/>
      <c r="R77" s="576"/>
      <c r="S77" s="576"/>
      <c r="T77" s="576"/>
      <c r="U77" s="576"/>
      <c r="V77" s="576"/>
      <c r="W77" s="576"/>
      <c r="X77" s="576"/>
      <c r="Y77" s="98"/>
      <c r="Z77" s="98"/>
      <c r="AA77" s="98"/>
      <c r="AB77" s="98"/>
      <c r="AC77" s="98"/>
      <c r="AD77" s="98"/>
      <c r="AE77" s="576"/>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7"/>
    </row>
    <row r="78" spans="1:55" x14ac:dyDescent="0.2">
      <c r="A78" s="576"/>
      <c r="B78" s="98"/>
      <c r="C78" s="98"/>
      <c r="D78" s="98"/>
      <c r="E78" s="576"/>
      <c r="F78" s="576"/>
      <c r="G78" s="576"/>
      <c r="H78" s="576"/>
      <c r="I78" s="576"/>
      <c r="J78" s="576"/>
      <c r="K78" s="576"/>
      <c r="L78" s="576"/>
      <c r="M78" s="576"/>
      <c r="N78" s="576"/>
      <c r="O78" s="576"/>
      <c r="P78" s="576"/>
      <c r="Q78" s="576"/>
      <c r="R78" s="576"/>
      <c r="S78" s="576"/>
      <c r="T78" s="576"/>
      <c r="U78" s="576"/>
      <c r="V78" s="576"/>
      <c r="W78" s="576"/>
      <c r="X78" s="576"/>
      <c r="Y78" s="98"/>
      <c r="Z78" s="98"/>
      <c r="AA78" s="98"/>
      <c r="AB78" s="98"/>
      <c r="AC78" s="98"/>
      <c r="AD78" s="98"/>
      <c r="AE78" s="576"/>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7"/>
    </row>
    <row r="79" spans="1:55" x14ac:dyDescent="0.2">
      <c r="A79" s="576"/>
      <c r="B79" s="98"/>
      <c r="C79" s="98"/>
      <c r="D79" s="98"/>
      <c r="E79" s="576"/>
      <c r="F79" s="576"/>
      <c r="G79" s="576"/>
      <c r="H79" s="576"/>
      <c r="I79" s="576"/>
      <c r="J79" s="576"/>
      <c r="K79" s="576"/>
      <c r="L79" s="576"/>
      <c r="M79" s="576"/>
      <c r="N79" s="576"/>
      <c r="O79" s="576"/>
      <c r="P79" s="576"/>
      <c r="Q79" s="576"/>
      <c r="R79" s="576"/>
      <c r="S79" s="576"/>
      <c r="T79" s="576"/>
      <c r="U79" s="576"/>
      <c r="V79" s="576"/>
      <c r="W79" s="576"/>
      <c r="X79" s="576"/>
      <c r="Y79" s="98"/>
      <c r="Z79" s="98"/>
      <c r="AA79" s="98"/>
      <c r="AB79" s="98"/>
      <c r="AC79" s="98"/>
      <c r="AD79" s="98"/>
      <c r="AE79" s="576"/>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7"/>
    </row>
    <row r="80" spans="1:55" x14ac:dyDescent="0.2">
      <c r="A80" s="579"/>
      <c r="B80" s="100"/>
      <c r="C80" s="100"/>
      <c r="D80" s="100"/>
      <c r="E80" s="579"/>
      <c r="F80" s="579"/>
      <c r="G80" s="579"/>
      <c r="H80" s="579"/>
      <c r="I80" s="579"/>
      <c r="J80" s="579"/>
      <c r="K80" s="579"/>
      <c r="L80" s="579"/>
      <c r="M80" s="579"/>
      <c r="N80" s="579"/>
      <c r="O80" s="579"/>
      <c r="P80" s="579"/>
      <c r="Q80" s="579"/>
      <c r="R80" s="579"/>
      <c r="S80" s="579"/>
      <c r="T80" s="579"/>
      <c r="U80" s="579"/>
      <c r="V80" s="579"/>
      <c r="W80" s="579"/>
      <c r="X80" s="579"/>
      <c r="Y80" s="100"/>
      <c r="Z80" s="100"/>
      <c r="AA80" s="100"/>
      <c r="AB80" s="100"/>
      <c r="AC80" s="100"/>
      <c r="AD80" s="100"/>
      <c r="AE80" s="579"/>
      <c r="AF80" s="579"/>
      <c r="AG80" s="579"/>
      <c r="AH80" s="579"/>
      <c r="AI80" s="579"/>
      <c r="AJ80" s="579"/>
      <c r="AK80" s="579"/>
      <c r="AL80" s="579"/>
      <c r="AM80" s="579"/>
      <c r="AN80" s="579"/>
      <c r="AO80" s="579"/>
      <c r="AP80" s="579"/>
      <c r="AQ80" s="579"/>
      <c r="AR80" s="579"/>
      <c r="AS80" s="579"/>
      <c r="AT80" s="579"/>
      <c r="AU80" s="579"/>
      <c r="AV80" s="579"/>
      <c r="AW80" s="579"/>
      <c r="AX80" s="579"/>
      <c r="AY80" s="579"/>
      <c r="AZ80" s="579"/>
      <c r="BA80" s="579"/>
      <c r="BB80" s="579"/>
      <c r="BC80" s="580"/>
    </row>
  </sheetData>
  <sheetProtection selectLockedCells="1"/>
  <dataConsolidate link="1"/>
  <mergeCells count="5">
    <mergeCell ref="E23:X23"/>
    <mergeCell ref="B7:B10"/>
    <mergeCell ref="Z7:Z18"/>
    <mergeCell ref="B11:B14"/>
    <mergeCell ref="B15:B18"/>
  </mergeCells>
  <conditionalFormatting sqref="E4:X4 E24:X24">
    <cfRule type="notContainsBlanks" dxfId="9" priority="11">
      <formula>LEN(TRIM(E4))&gt;0</formula>
    </cfRule>
  </conditionalFormatting>
  <conditionalFormatting sqref="E7:X18">
    <cfRule type="notContainsBlanks" dxfId="8" priority="1">
      <formula>LEN(TRIM(E7))&gt;0</formula>
    </cfRule>
  </conditionalFormatting>
  <dataValidations count="1">
    <dataValidation type="whole" allowBlank="1" showInputMessage="1" showErrorMessage="1" errorTitle="Attenzione" error="Il servizio deve avere una durata minima di 1 mese e una durata massima di 48 mesi" sqref="E4:X4" xr:uid="{00000000-0002-0000-1500-000000000000}">
      <formula1>1</formula1>
      <formula2>48</formula2>
    </dataValidation>
  </dataValidations>
  <pageMargins left="0.7" right="0.7" top="0.75" bottom="0.75" header="0.3" footer="0.3"/>
  <pageSetup paperSize="8"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18"/>
  <dimension ref="A1:BE97"/>
  <sheetViews>
    <sheetView zoomScaleNormal="100" workbookViewId="0">
      <pane xSplit="6" ySplit="6" topLeftCell="G7" activePane="bottomRight" state="frozen"/>
      <selection pane="topRight" activeCell="G1" sqref="G1"/>
      <selection pane="bottomLeft" activeCell="A7" sqref="A7"/>
      <selection pane="bottomRight" activeCell="H13" sqref="H13:H15"/>
    </sheetView>
  </sheetViews>
  <sheetFormatPr defaultColWidth="9.140625" defaultRowHeight="11.25" x14ac:dyDescent="0.2"/>
  <cols>
    <col min="1" max="1" width="0.5703125" style="573" customWidth="1"/>
    <col min="2" max="2" width="10.140625" style="99" customWidth="1"/>
    <col min="3" max="3" width="18.140625" style="99" customWidth="1"/>
    <col min="4" max="4" width="29" style="99" customWidth="1"/>
    <col min="5" max="5" width="14.42578125" style="99" customWidth="1"/>
    <col min="6" max="6" width="14.28515625" style="99" bestFit="1" customWidth="1"/>
    <col min="7" max="7" width="9.42578125" style="573" bestFit="1" customWidth="1"/>
    <col min="8" max="8" width="10.140625" style="573" bestFit="1" customWidth="1"/>
    <col min="9" max="15" width="9.42578125" style="573" bestFit="1" customWidth="1"/>
    <col min="16" max="26" width="10.140625" style="573" bestFit="1"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ht="12" thickBot="1" x14ac:dyDescent="0.25"/>
    <row r="2" spans="1:57" s="99" customFormat="1" ht="12.75" thickBot="1" x14ac:dyDescent="0.25">
      <c r="G2" s="125" t="s">
        <v>308</v>
      </c>
      <c r="H2" s="125" t="s">
        <v>309</v>
      </c>
      <c r="I2" s="125" t="s">
        <v>310</v>
      </c>
      <c r="J2" s="125" t="s">
        <v>311</v>
      </c>
      <c r="K2" s="125" t="s">
        <v>312</v>
      </c>
      <c r="L2" s="125" t="s">
        <v>313</v>
      </c>
      <c r="M2" s="125" t="s">
        <v>314</v>
      </c>
      <c r="N2" s="125" t="s">
        <v>315</v>
      </c>
      <c r="O2" s="125" t="s">
        <v>316</v>
      </c>
      <c r="P2" s="125" t="s">
        <v>317</v>
      </c>
      <c r="Q2" s="125" t="s">
        <v>318</v>
      </c>
      <c r="R2" s="125" t="s">
        <v>319</v>
      </c>
      <c r="S2" s="125" t="s">
        <v>320</v>
      </c>
      <c r="T2" s="125" t="s">
        <v>321</v>
      </c>
      <c r="U2" s="125" t="s">
        <v>322</v>
      </c>
      <c r="V2" s="125" t="s">
        <v>323</v>
      </c>
      <c r="W2" s="125" t="s">
        <v>324</v>
      </c>
      <c r="X2" s="125" t="s">
        <v>325</v>
      </c>
      <c r="Y2" s="125" t="s">
        <v>326</v>
      </c>
      <c r="Z2" s="125" t="s">
        <v>327</v>
      </c>
    </row>
    <row r="3" spans="1:57" s="99" customFormat="1" ht="24.75" thickBot="1" x14ac:dyDescent="0.25">
      <c r="F3" s="124" t="s">
        <v>1170</v>
      </c>
      <c r="G3" s="487" t="str">
        <f>IF('Elenco immobili'!$C$4="","",'Elenco immobili'!$C$4)</f>
        <v>Sede ICE-AGID</v>
      </c>
      <c r="H3" s="487" t="str">
        <f>IF('Elenco immobili'!$C$5="","",'Elenco immobili'!$C$5)</f>
        <v/>
      </c>
      <c r="I3" s="487" t="str">
        <f>IF('Elenco immobili'!$C$6="","",'Elenco immobili'!$C$6)</f>
        <v/>
      </c>
      <c r="J3" s="487" t="str">
        <f>IF('Elenco immobili'!$C$7="","",'Elenco immobili'!$C$7)</f>
        <v/>
      </c>
      <c r="K3" s="487" t="str">
        <f>IF('Elenco immobili'!$C$8="","",'Elenco immobili'!$C$8)</f>
        <v/>
      </c>
      <c r="L3" s="487" t="str">
        <f>IF('Elenco immobili'!$C$9="","",'Elenco immobili'!$C$9)</f>
        <v/>
      </c>
      <c r="M3" s="487" t="str">
        <f>IF('Elenco immobili'!$C$10="","",'Elenco immobili'!$C$10)</f>
        <v/>
      </c>
      <c r="N3" s="487" t="str">
        <f>IF('Elenco immobili'!$C$11="","",'Elenco immobili'!$C$11)</f>
        <v/>
      </c>
      <c r="O3" s="487" t="str">
        <f>IF('Elenco immobili'!$C$12="","",'Elenco immobili'!$C$12)</f>
        <v/>
      </c>
      <c r="P3" s="487" t="str">
        <f>IF('Elenco immobili'!$C$13="","",'Elenco immobili'!$C$13)</f>
        <v/>
      </c>
      <c r="Q3" s="487" t="str">
        <f>IF('Elenco immobili'!$C$14="","",'Elenco immobili'!$C$14)</f>
        <v/>
      </c>
      <c r="R3" s="487" t="str">
        <f>IF('Elenco immobili'!$C$15="","",'Elenco immobili'!$C$15)</f>
        <v/>
      </c>
      <c r="S3" s="487" t="str">
        <f>IF('Elenco immobili'!$C$16="","",'Elenco immobili'!$C$16)</f>
        <v/>
      </c>
      <c r="T3" s="487" t="str">
        <f>IF('Elenco immobili'!$C$17="","",'Elenco immobili'!$C$17)</f>
        <v/>
      </c>
      <c r="U3" s="487" t="str">
        <f>IF('Elenco immobili'!$C$18="","",'Elenco immobili'!$C$18)</f>
        <v/>
      </c>
      <c r="V3" s="487" t="str">
        <f>IF('Elenco immobili'!$C$19="","",'Elenco immobili'!$C$19)</f>
        <v/>
      </c>
      <c r="W3" s="487" t="str">
        <f>IF('Elenco immobili'!$C$20="","",'Elenco immobili'!$C$20)</f>
        <v/>
      </c>
      <c r="X3" s="487" t="str">
        <f>IF('Elenco immobili'!$C$21="","",'Elenco immobili'!$C$21)</f>
        <v/>
      </c>
      <c r="Y3" s="487" t="str">
        <f>IF('Elenco immobili'!$C$22="","",'Elenco immobili'!$C$22)</f>
        <v/>
      </c>
      <c r="Z3" s="487" t="str">
        <f>IF('Elenco immobili'!$C$23="","",'Elenco immobili'!$C$23)</f>
        <v/>
      </c>
    </row>
    <row r="4" spans="1:57" ht="13.5" thickBot="1" x14ac:dyDescent="0.25">
      <c r="B4" s="105" t="s">
        <v>976</v>
      </c>
      <c r="F4" s="125" t="s">
        <v>328</v>
      </c>
      <c r="G4" s="574">
        <v>48</v>
      </c>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57" thickBot="1" x14ac:dyDescent="0.25">
      <c r="A6" s="101"/>
      <c r="B6" s="121" t="s">
        <v>771</v>
      </c>
      <c r="C6" s="316" t="s">
        <v>988</v>
      </c>
      <c r="D6" s="123" t="s">
        <v>989</v>
      </c>
      <c r="E6" s="317" t="s">
        <v>990</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1190</v>
      </c>
      <c r="AB6" s="128" t="s">
        <v>51</v>
      </c>
      <c r="AC6" s="128" t="s">
        <v>143</v>
      </c>
      <c r="AD6" s="128" t="s">
        <v>1191</v>
      </c>
      <c r="AE6" s="128" t="s">
        <v>160</v>
      </c>
      <c r="AF6" s="128" t="s">
        <v>1192</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10.5" customHeight="1" thickBot="1" x14ac:dyDescent="0.25">
      <c r="A7" s="575"/>
      <c r="B7" s="995" t="s">
        <v>977</v>
      </c>
      <c r="C7" s="1047" t="s">
        <v>991</v>
      </c>
      <c r="D7" s="330" t="s">
        <v>992</v>
      </c>
      <c r="E7" s="549" t="s">
        <v>993</v>
      </c>
      <c r="F7" s="1045" t="s">
        <v>876</v>
      </c>
      <c r="G7" s="1024">
        <v>4500</v>
      </c>
      <c r="H7" s="1038"/>
      <c r="I7" s="1038"/>
      <c r="J7" s="1038"/>
      <c r="K7" s="1038"/>
      <c r="L7" s="1038"/>
      <c r="M7" s="1038"/>
      <c r="N7" s="1038"/>
      <c r="O7" s="1038"/>
      <c r="P7" s="1038"/>
      <c r="Q7" s="1038"/>
      <c r="R7" s="1038"/>
      <c r="S7" s="1038"/>
      <c r="T7" s="1038"/>
      <c r="U7" s="1038"/>
      <c r="V7" s="1038"/>
      <c r="W7" s="1038"/>
      <c r="X7" s="1038"/>
      <c r="Y7" s="1038"/>
      <c r="Z7" s="1038"/>
      <c r="AA7" s="1030">
        <v>3.7999999999999999E-2</v>
      </c>
      <c r="AB7" s="1042" t="s">
        <v>21</v>
      </c>
      <c r="AC7" s="1033">
        <f>'Ribassi PE'!$K$29</f>
        <v>0.27</v>
      </c>
      <c r="AD7" s="1027">
        <f t="shared" ref="AD7:AD29" si="0">ROUND(AA7*(1-AC7),3)</f>
        <v>2.8000000000000001E-2</v>
      </c>
      <c r="AE7" s="1033">
        <f>'Ribassi PE'!$M$29</f>
        <v>0.6</v>
      </c>
      <c r="AF7" s="1027">
        <f t="shared" ref="AF7:AF29" si="1">ROUND(AA7*(1-AE7),3)</f>
        <v>1.4999999999999999E-2</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14.45" customHeight="1" thickBot="1" x14ac:dyDescent="0.25">
      <c r="A8" s="575"/>
      <c r="B8" s="993"/>
      <c r="C8" s="1063"/>
      <c r="D8" s="308" t="s">
        <v>994</v>
      </c>
      <c r="E8" s="550" t="s">
        <v>993</v>
      </c>
      <c r="F8" s="1058"/>
      <c r="G8" s="1026"/>
      <c r="H8" s="1039"/>
      <c r="I8" s="1039"/>
      <c r="J8" s="1039"/>
      <c r="K8" s="1039"/>
      <c r="L8" s="1039"/>
      <c r="M8" s="1039"/>
      <c r="N8" s="1039"/>
      <c r="O8" s="1039"/>
      <c r="P8" s="1039"/>
      <c r="Q8" s="1039"/>
      <c r="R8" s="1039"/>
      <c r="S8" s="1039"/>
      <c r="T8" s="1039"/>
      <c r="U8" s="1039"/>
      <c r="V8" s="1039"/>
      <c r="W8" s="1039"/>
      <c r="X8" s="1039"/>
      <c r="Y8" s="1039"/>
      <c r="Z8" s="1039"/>
      <c r="AA8" s="1031"/>
      <c r="AB8" s="1044"/>
      <c r="AC8" s="1034"/>
      <c r="AD8" s="1028"/>
      <c r="AE8" s="1034"/>
      <c r="AF8" s="1028"/>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23.25" thickBot="1" x14ac:dyDescent="0.25">
      <c r="A9" s="575"/>
      <c r="B9" s="1059"/>
      <c r="C9" s="1048"/>
      <c r="D9" s="285" t="s">
        <v>995</v>
      </c>
      <c r="E9" s="551" t="s">
        <v>996</v>
      </c>
      <c r="F9" s="1046"/>
      <c r="G9" s="1025"/>
      <c r="H9" s="1040"/>
      <c r="I9" s="1040"/>
      <c r="J9" s="1040"/>
      <c r="K9" s="1040"/>
      <c r="L9" s="1040"/>
      <c r="M9" s="1040"/>
      <c r="N9" s="1040"/>
      <c r="O9" s="1040"/>
      <c r="P9" s="1040"/>
      <c r="Q9" s="1040"/>
      <c r="R9" s="1040"/>
      <c r="S9" s="1040"/>
      <c r="T9" s="1040"/>
      <c r="U9" s="1040"/>
      <c r="V9" s="1040"/>
      <c r="W9" s="1040"/>
      <c r="X9" s="1040"/>
      <c r="Y9" s="1040"/>
      <c r="Z9" s="1040"/>
      <c r="AA9" s="1032"/>
      <c r="AB9" s="1043"/>
      <c r="AC9" s="1035"/>
      <c r="AD9" s="1029"/>
      <c r="AE9" s="1035"/>
      <c r="AF9" s="1029"/>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10.5" customHeight="1" thickBot="1" x14ac:dyDescent="0.25">
      <c r="A10" s="575"/>
      <c r="B10" s="995" t="s">
        <v>978</v>
      </c>
      <c r="C10" s="1047" t="s">
        <v>997</v>
      </c>
      <c r="D10" s="542" t="s">
        <v>992</v>
      </c>
      <c r="E10" s="549" t="s">
        <v>993</v>
      </c>
      <c r="F10" s="1045" t="s">
        <v>876</v>
      </c>
      <c r="G10" s="1024">
        <v>4500</v>
      </c>
      <c r="H10" s="1038"/>
      <c r="I10" s="1038"/>
      <c r="J10" s="1038"/>
      <c r="K10" s="1038"/>
      <c r="L10" s="1038"/>
      <c r="M10" s="1038"/>
      <c r="N10" s="1038"/>
      <c r="O10" s="1038"/>
      <c r="P10" s="1038"/>
      <c r="Q10" s="1038"/>
      <c r="R10" s="1038"/>
      <c r="S10" s="1038"/>
      <c r="T10" s="1038"/>
      <c r="U10" s="1038"/>
      <c r="V10" s="1038"/>
      <c r="W10" s="1038"/>
      <c r="X10" s="1038"/>
      <c r="Y10" s="1038"/>
      <c r="Z10" s="1038"/>
      <c r="AA10" s="1030">
        <v>0.03</v>
      </c>
      <c r="AB10" s="1042" t="s">
        <v>21</v>
      </c>
      <c r="AC10" s="1036">
        <f>'Ribassi PE'!$K$29</f>
        <v>0.27</v>
      </c>
      <c r="AD10" s="1030">
        <f t="shared" si="0"/>
        <v>2.1999999999999999E-2</v>
      </c>
      <c r="AE10" s="1033">
        <f>'Ribassi PE'!$M$29</f>
        <v>0.6</v>
      </c>
      <c r="AF10" s="1030">
        <f t="shared" si="1"/>
        <v>1.2E-2</v>
      </c>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14.45" customHeight="1" thickBot="1" x14ac:dyDescent="0.25">
      <c r="A11" s="575"/>
      <c r="B11" s="993"/>
      <c r="C11" s="1063"/>
      <c r="D11" s="543" t="s">
        <v>994</v>
      </c>
      <c r="E11" s="550" t="s">
        <v>993</v>
      </c>
      <c r="F11" s="1058"/>
      <c r="G11" s="1026"/>
      <c r="H11" s="1039"/>
      <c r="I11" s="1039"/>
      <c r="J11" s="1039"/>
      <c r="K11" s="1039"/>
      <c r="L11" s="1039"/>
      <c r="M11" s="1039"/>
      <c r="N11" s="1039"/>
      <c r="O11" s="1039"/>
      <c r="P11" s="1039"/>
      <c r="Q11" s="1039"/>
      <c r="R11" s="1039"/>
      <c r="S11" s="1039"/>
      <c r="T11" s="1039"/>
      <c r="U11" s="1039"/>
      <c r="V11" s="1039"/>
      <c r="W11" s="1039"/>
      <c r="X11" s="1039"/>
      <c r="Y11" s="1039"/>
      <c r="Z11" s="1039"/>
      <c r="AA11" s="1031"/>
      <c r="AB11" s="1044"/>
      <c r="AC11" s="1041"/>
      <c r="AD11" s="1031"/>
      <c r="AE11" s="1034"/>
      <c r="AF11" s="1031"/>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23.25" thickBot="1" x14ac:dyDescent="0.25">
      <c r="A12" s="575"/>
      <c r="B12" s="1059"/>
      <c r="C12" s="1048"/>
      <c r="D12" s="544" t="s">
        <v>995</v>
      </c>
      <c r="E12" s="551" t="s">
        <v>996</v>
      </c>
      <c r="F12" s="1046"/>
      <c r="G12" s="1025"/>
      <c r="H12" s="1040"/>
      <c r="I12" s="1040"/>
      <c r="J12" s="1040"/>
      <c r="K12" s="1040"/>
      <c r="L12" s="1040"/>
      <c r="M12" s="1040"/>
      <c r="N12" s="1040"/>
      <c r="O12" s="1040"/>
      <c r="P12" s="1040"/>
      <c r="Q12" s="1040"/>
      <c r="R12" s="1040"/>
      <c r="S12" s="1040"/>
      <c r="T12" s="1040"/>
      <c r="U12" s="1040"/>
      <c r="V12" s="1040"/>
      <c r="W12" s="1040"/>
      <c r="X12" s="1040"/>
      <c r="Y12" s="1040"/>
      <c r="Z12" s="1040"/>
      <c r="AA12" s="1032"/>
      <c r="AB12" s="1043"/>
      <c r="AC12" s="1037"/>
      <c r="AD12" s="1032"/>
      <c r="AE12" s="1035"/>
      <c r="AF12" s="1032"/>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10.5" customHeight="1" thickBot="1" x14ac:dyDescent="0.25">
      <c r="A13" s="575"/>
      <c r="B13" s="995" t="s">
        <v>979</v>
      </c>
      <c r="C13" s="1047" t="s">
        <v>998</v>
      </c>
      <c r="D13" s="542" t="s">
        <v>992</v>
      </c>
      <c r="E13" s="549" t="s">
        <v>993</v>
      </c>
      <c r="F13" s="1045" t="s">
        <v>876</v>
      </c>
      <c r="G13" s="1024">
        <v>4500</v>
      </c>
      <c r="H13" s="1038"/>
      <c r="I13" s="1038"/>
      <c r="J13" s="1038"/>
      <c r="K13" s="1038"/>
      <c r="L13" s="1038"/>
      <c r="M13" s="1038"/>
      <c r="N13" s="1038"/>
      <c r="O13" s="1038"/>
      <c r="P13" s="1038"/>
      <c r="Q13" s="1038"/>
      <c r="R13" s="1038"/>
      <c r="S13" s="1038"/>
      <c r="T13" s="1038"/>
      <c r="U13" s="1038"/>
      <c r="V13" s="1038"/>
      <c r="W13" s="1038"/>
      <c r="X13" s="1038"/>
      <c r="Y13" s="1038"/>
      <c r="Z13" s="1038"/>
      <c r="AA13" s="1030">
        <v>4.0000000000000001E-3</v>
      </c>
      <c r="AB13" s="1042" t="s">
        <v>21</v>
      </c>
      <c r="AC13" s="1036">
        <f>'Ribassi PE'!$K$29</f>
        <v>0.27</v>
      </c>
      <c r="AD13" s="1030">
        <f t="shared" ref="AD13:AD19" si="2">ROUND(AA13*(1-AC13),3)</f>
        <v>3.0000000000000001E-3</v>
      </c>
      <c r="AE13" s="1033">
        <f>'Ribassi PE'!$M$29</f>
        <v>0.6</v>
      </c>
      <c r="AF13" s="1030">
        <f t="shared" ref="AF13:AF19" si="3">ROUND(AA13*(1-AE13),3)</f>
        <v>2E-3</v>
      </c>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14.45" customHeight="1" thickBot="1" x14ac:dyDescent="0.25">
      <c r="A14" s="575"/>
      <c r="B14" s="993"/>
      <c r="C14" s="1063"/>
      <c r="D14" s="543" t="s">
        <v>999</v>
      </c>
      <c r="E14" s="550" t="s">
        <v>993</v>
      </c>
      <c r="F14" s="1058"/>
      <c r="G14" s="1026"/>
      <c r="H14" s="1039"/>
      <c r="I14" s="1039"/>
      <c r="J14" s="1039"/>
      <c r="K14" s="1039"/>
      <c r="L14" s="1039"/>
      <c r="M14" s="1039"/>
      <c r="N14" s="1039"/>
      <c r="O14" s="1039"/>
      <c r="P14" s="1039"/>
      <c r="Q14" s="1039"/>
      <c r="R14" s="1039"/>
      <c r="S14" s="1039"/>
      <c r="T14" s="1039"/>
      <c r="U14" s="1039"/>
      <c r="V14" s="1039"/>
      <c r="W14" s="1039"/>
      <c r="X14" s="1039"/>
      <c r="Y14" s="1039"/>
      <c r="Z14" s="1039"/>
      <c r="AA14" s="1031"/>
      <c r="AB14" s="1044"/>
      <c r="AC14" s="1041"/>
      <c r="AD14" s="1031"/>
      <c r="AE14" s="1034"/>
      <c r="AF14" s="1031"/>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ht="23.25" thickBot="1" x14ac:dyDescent="0.25">
      <c r="A15" s="575"/>
      <c r="B15" s="1059"/>
      <c r="C15" s="1048"/>
      <c r="D15" s="544" t="s">
        <v>995</v>
      </c>
      <c r="E15" s="551" t="s">
        <v>996</v>
      </c>
      <c r="F15" s="1046"/>
      <c r="G15" s="1025"/>
      <c r="H15" s="1040"/>
      <c r="I15" s="1040"/>
      <c r="J15" s="1040"/>
      <c r="K15" s="1040"/>
      <c r="L15" s="1040"/>
      <c r="M15" s="1040"/>
      <c r="N15" s="1040"/>
      <c r="O15" s="1040"/>
      <c r="P15" s="1040"/>
      <c r="Q15" s="1040"/>
      <c r="R15" s="1040"/>
      <c r="S15" s="1040"/>
      <c r="T15" s="1040"/>
      <c r="U15" s="1040"/>
      <c r="V15" s="1040"/>
      <c r="W15" s="1040"/>
      <c r="X15" s="1040"/>
      <c r="Y15" s="1040"/>
      <c r="Z15" s="1040"/>
      <c r="AA15" s="1032"/>
      <c r="AB15" s="1043"/>
      <c r="AC15" s="1037"/>
      <c r="AD15" s="1032"/>
      <c r="AE15" s="1035"/>
      <c r="AF15" s="1032"/>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ht="10.5" customHeight="1" thickBot="1" x14ac:dyDescent="0.25">
      <c r="A16" s="575"/>
      <c r="B16" s="995" t="s">
        <v>980</v>
      </c>
      <c r="C16" s="1047" t="s">
        <v>1000</v>
      </c>
      <c r="D16" s="542" t="s">
        <v>992</v>
      </c>
      <c r="E16" s="549" t="s">
        <v>993</v>
      </c>
      <c r="F16" s="1045" t="s">
        <v>876</v>
      </c>
      <c r="G16" s="1024">
        <v>6000</v>
      </c>
      <c r="H16" s="1038"/>
      <c r="I16" s="1038"/>
      <c r="J16" s="1038"/>
      <c r="K16" s="1038"/>
      <c r="L16" s="1038"/>
      <c r="M16" s="1038"/>
      <c r="N16" s="1038"/>
      <c r="O16" s="1038"/>
      <c r="P16" s="1038"/>
      <c r="Q16" s="1038"/>
      <c r="R16" s="1038"/>
      <c r="S16" s="1038"/>
      <c r="T16" s="1038"/>
      <c r="U16" s="1038"/>
      <c r="V16" s="1038"/>
      <c r="W16" s="1038"/>
      <c r="X16" s="1038"/>
      <c r="Y16" s="1038"/>
      <c r="Z16" s="1038"/>
      <c r="AA16" s="1030">
        <v>1.2999999999999999E-2</v>
      </c>
      <c r="AB16" s="1042" t="s">
        <v>21</v>
      </c>
      <c r="AC16" s="1036">
        <f>'Ribassi PE'!$K$29</f>
        <v>0.27</v>
      </c>
      <c r="AD16" s="1030">
        <f t="shared" si="2"/>
        <v>8.9999999999999993E-3</v>
      </c>
      <c r="AE16" s="1033">
        <f>'Ribassi PE'!$M$29</f>
        <v>0.6</v>
      </c>
      <c r="AF16" s="1030">
        <f t="shared" si="3"/>
        <v>5.0000000000000001E-3</v>
      </c>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ht="12" thickBot="1" x14ac:dyDescent="0.25">
      <c r="A17" s="575"/>
      <c r="B17" s="993"/>
      <c r="C17" s="1063"/>
      <c r="D17" s="543" t="s">
        <v>999</v>
      </c>
      <c r="E17" s="550" t="s">
        <v>993</v>
      </c>
      <c r="F17" s="1058"/>
      <c r="G17" s="1026"/>
      <c r="H17" s="1039"/>
      <c r="I17" s="1039"/>
      <c r="J17" s="1039"/>
      <c r="K17" s="1039"/>
      <c r="L17" s="1039"/>
      <c r="M17" s="1039"/>
      <c r="N17" s="1039"/>
      <c r="O17" s="1039"/>
      <c r="P17" s="1039"/>
      <c r="Q17" s="1039"/>
      <c r="R17" s="1039"/>
      <c r="S17" s="1039"/>
      <c r="T17" s="1039"/>
      <c r="U17" s="1039"/>
      <c r="V17" s="1039"/>
      <c r="W17" s="1039"/>
      <c r="X17" s="1039"/>
      <c r="Y17" s="1039"/>
      <c r="Z17" s="1039"/>
      <c r="AA17" s="1031"/>
      <c r="AB17" s="1044"/>
      <c r="AC17" s="1041"/>
      <c r="AD17" s="1031"/>
      <c r="AE17" s="1034"/>
      <c r="AF17" s="1031"/>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ht="23.25" thickBot="1" x14ac:dyDescent="0.25">
      <c r="A18" s="575"/>
      <c r="B18" s="1059"/>
      <c r="C18" s="1048"/>
      <c r="D18" s="544" t="s">
        <v>1001</v>
      </c>
      <c r="E18" s="551" t="s">
        <v>996</v>
      </c>
      <c r="F18" s="1046"/>
      <c r="G18" s="1025"/>
      <c r="H18" s="1040"/>
      <c r="I18" s="1040"/>
      <c r="J18" s="1040"/>
      <c r="K18" s="1040"/>
      <c r="L18" s="1040"/>
      <c r="M18" s="1040"/>
      <c r="N18" s="1040"/>
      <c r="O18" s="1040"/>
      <c r="P18" s="1040"/>
      <c r="Q18" s="1040"/>
      <c r="R18" s="1040"/>
      <c r="S18" s="1040"/>
      <c r="T18" s="1040"/>
      <c r="U18" s="1040"/>
      <c r="V18" s="1040"/>
      <c r="W18" s="1040"/>
      <c r="X18" s="1040"/>
      <c r="Y18" s="1040"/>
      <c r="Z18" s="1040"/>
      <c r="AA18" s="1032"/>
      <c r="AB18" s="1043"/>
      <c r="AC18" s="1037"/>
      <c r="AD18" s="1032"/>
      <c r="AE18" s="1035"/>
      <c r="AF18" s="1032"/>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ht="10.5" customHeight="1" thickBot="1" x14ac:dyDescent="0.25">
      <c r="A19" s="575"/>
      <c r="B19" s="995" t="s">
        <v>981</v>
      </c>
      <c r="C19" s="1047" t="s">
        <v>1002</v>
      </c>
      <c r="D19" s="542" t="s">
        <v>992</v>
      </c>
      <c r="E19" s="549" t="s">
        <v>993</v>
      </c>
      <c r="F19" s="1045" t="s">
        <v>1161</v>
      </c>
      <c r="G19" s="1024">
        <v>6000</v>
      </c>
      <c r="H19" s="1038"/>
      <c r="I19" s="1038"/>
      <c r="J19" s="1038"/>
      <c r="K19" s="1038"/>
      <c r="L19" s="1038"/>
      <c r="M19" s="1038"/>
      <c r="N19" s="1038"/>
      <c r="O19" s="1038"/>
      <c r="P19" s="1038"/>
      <c r="Q19" s="1038"/>
      <c r="R19" s="1038"/>
      <c r="S19" s="1038"/>
      <c r="T19" s="1038"/>
      <c r="U19" s="1038"/>
      <c r="V19" s="1038"/>
      <c r="W19" s="1038"/>
      <c r="X19" s="1038"/>
      <c r="Y19" s="1038"/>
      <c r="Z19" s="1038"/>
      <c r="AA19" s="1030">
        <v>0.84299999999999997</v>
      </c>
      <c r="AB19" s="1042" t="s">
        <v>21</v>
      </c>
      <c r="AC19" s="1036">
        <f>'Ribassi PE'!$K$29</f>
        <v>0.27</v>
      </c>
      <c r="AD19" s="1030">
        <f t="shared" si="2"/>
        <v>0.61499999999999999</v>
      </c>
      <c r="AE19" s="1036">
        <f>'Ribassi PE'!$M$29</f>
        <v>0.6</v>
      </c>
      <c r="AF19" s="1030">
        <f t="shared" si="3"/>
        <v>0.33700000000000002</v>
      </c>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7"/>
    </row>
    <row r="20" spans="1:57" ht="34.5" thickBot="1" x14ac:dyDescent="0.25">
      <c r="A20" s="575"/>
      <c r="B20" s="1059"/>
      <c r="C20" s="1048"/>
      <c r="D20" s="544" t="s">
        <v>1003</v>
      </c>
      <c r="E20" s="551" t="s">
        <v>1004</v>
      </c>
      <c r="F20" s="1046"/>
      <c r="G20" s="1025"/>
      <c r="H20" s="1040"/>
      <c r="I20" s="1040"/>
      <c r="J20" s="1040"/>
      <c r="K20" s="1040"/>
      <c r="L20" s="1040"/>
      <c r="M20" s="1040"/>
      <c r="N20" s="1040"/>
      <c r="O20" s="1040"/>
      <c r="P20" s="1040"/>
      <c r="Q20" s="1040"/>
      <c r="R20" s="1040"/>
      <c r="S20" s="1040"/>
      <c r="T20" s="1040"/>
      <c r="U20" s="1040"/>
      <c r="V20" s="1040"/>
      <c r="W20" s="1040"/>
      <c r="X20" s="1040"/>
      <c r="Y20" s="1040"/>
      <c r="Z20" s="1040"/>
      <c r="AA20" s="1032"/>
      <c r="AB20" s="1043"/>
      <c r="AC20" s="1037"/>
      <c r="AD20" s="1032"/>
      <c r="AE20" s="1037"/>
      <c r="AF20" s="1032"/>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7"/>
    </row>
    <row r="21" spans="1:57" ht="10.5" customHeight="1" thickBot="1" x14ac:dyDescent="0.25">
      <c r="A21" s="575"/>
      <c r="B21" s="995" t="s">
        <v>982</v>
      </c>
      <c r="C21" s="1047" t="s">
        <v>1002</v>
      </c>
      <c r="D21" s="542" t="s">
        <v>992</v>
      </c>
      <c r="E21" s="549" t="s">
        <v>993</v>
      </c>
      <c r="F21" s="1045" t="s">
        <v>876</v>
      </c>
      <c r="G21" s="1024">
        <v>6000</v>
      </c>
      <c r="H21" s="1038"/>
      <c r="I21" s="1038"/>
      <c r="J21" s="1038"/>
      <c r="K21" s="1038"/>
      <c r="L21" s="1038"/>
      <c r="M21" s="1038"/>
      <c r="N21" s="1038"/>
      <c r="O21" s="1038"/>
      <c r="P21" s="1038"/>
      <c r="Q21" s="1038"/>
      <c r="R21" s="1038"/>
      <c r="S21" s="1038"/>
      <c r="T21" s="1038"/>
      <c r="U21" s="1038"/>
      <c r="V21" s="1038"/>
      <c r="W21" s="1038"/>
      <c r="X21" s="1038"/>
      <c r="Y21" s="1038"/>
      <c r="Z21" s="1038"/>
      <c r="AA21" s="1030">
        <v>0.17299999999999999</v>
      </c>
      <c r="AB21" s="1042" t="s">
        <v>21</v>
      </c>
      <c r="AC21" s="1033">
        <f>'Ribassi PE'!$K$29</f>
        <v>0.27</v>
      </c>
      <c r="AD21" s="1027">
        <f t="shared" ref="AD21:AD23" si="4">ROUND(AA21*(1-AC21),3)</f>
        <v>0.126</v>
      </c>
      <c r="AE21" s="1036">
        <f>'Ribassi PE'!$M$29</f>
        <v>0.6</v>
      </c>
      <c r="AF21" s="1027">
        <f t="shared" ref="AF21:AF23" si="5">ROUND(AA21*(1-AE21),3)</f>
        <v>6.9000000000000006E-2</v>
      </c>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7"/>
    </row>
    <row r="22" spans="1:57" ht="34.5" thickBot="1" x14ac:dyDescent="0.25">
      <c r="A22" s="575"/>
      <c r="B22" s="1059"/>
      <c r="C22" s="1048"/>
      <c r="D22" s="544" t="s">
        <v>1005</v>
      </c>
      <c r="E22" s="551" t="s">
        <v>1006</v>
      </c>
      <c r="F22" s="1046"/>
      <c r="G22" s="1025"/>
      <c r="H22" s="1040"/>
      <c r="I22" s="1040"/>
      <c r="J22" s="1040"/>
      <c r="K22" s="1040"/>
      <c r="L22" s="1040"/>
      <c r="M22" s="1040"/>
      <c r="N22" s="1040"/>
      <c r="O22" s="1040"/>
      <c r="P22" s="1040"/>
      <c r="Q22" s="1040"/>
      <c r="R22" s="1040"/>
      <c r="S22" s="1040"/>
      <c r="T22" s="1040"/>
      <c r="U22" s="1040"/>
      <c r="V22" s="1040"/>
      <c r="W22" s="1040"/>
      <c r="X22" s="1040"/>
      <c r="Y22" s="1040"/>
      <c r="Z22" s="1040"/>
      <c r="AA22" s="1032"/>
      <c r="AB22" s="1043"/>
      <c r="AC22" s="1035"/>
      <c r="AD22" s="1029"/>
      <c r="AE22" s="1037"/>
      <c r="AF22" s="1029"/>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ht="10.5" customHeight="1" x14ac:dyDescent="0.2">
      <c r="A23" s="575"/>
      <c r="B23" s="1060" t="s">
        <v>983</v>
      </c>
      <c r="C23" s="1049" t="s">
        <v>1007</v>
      </c>
      <c r="D23" s="322" t="s">
        <v>992</v>
      </c>
      <c r="E23" s="319" t="s">
        <v>993</v>
      </c>
      <c r="F23" s="1052" t="s">
        <v>876</v>
      </c>
      <c r="G23" s="1024"/>
      <c r="H23" s="1038"/>
      <c r="I23" s="1038"/>
      <c r="J23" s="1038"/>
      <c r="K23" s="1038"/>
      <c r="L23" s="1038"/>
      <c r="M23" s="1038"/>
      <c r="N23" s="1038"/>
      <c r="O23" s="1038"/>
      <c r="P23" s="1038"/>
      <c r="Q23" s="1038"/>
      <c r="R23" s="1038"/>
      <c r="S23" s="1038"/>
      <c r="T23" s="1038"/>
      <c r="U23" s="1038"/>
      <c r="V23" s="1038"/>
      <c r="W23" s="1038"/>
      <c r="X23" s="1038"/>
      <c r="Y23" s="1038"/>
      <c r="Z23" s="1038"/>
      <c r="AA23" s="1030">
        <v>2.5999999999999999E-2</v>
      </c>
      <c r="AB23" s="1042" t="s">
        <v>21</v>
      </c>
      <c r="AC23" s="1033">
        <f>'Ribassi PE'!$K$29</f>
        <v>0.27</v>
      </c>
      <c r="AD23" s="1027">
        <f t="shared" si="4"/>
        <v>1.9E-2</v>
      </c>
      <c r="AE23" s="1033">
        <f>'Ribassi PE'!$M$29</f>
        <v>0.6</v>
      </c>
      <c r="AF23" s="1027">
        <f t="shared" si="5"/>
        <v>0.01</v>
      </c>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ht="14.45" customHeight="1" x14ac:dyDescent="0.2">
      <c r="A24" s="575"/>
      <c r="B24" s="1061"/>
      <c r="C24" s="1050"/>
      <c r="D24" s="323" t="s">
        <v>1008</v>
      </c>
      <c r="E24" s="320" t="s">
        <v>993</v>
      </c>
      <c r="F24" s="1053"/>
      <c r="G24" s="1026"/>
      <c r="H24" s="1039"/>
      <c r="I24" s="1039"/>
      <c r="J24" s="1039"/>
      <c r="K24" s="1039"/>
      <c r="L24" s="1039"/>
      <c r="M24" s="1039"/>
      <c r="N24" s="1039"/>
      <c r="O24" s="1039"/>
      <c r="P24" s="1039"/>
      <c r="Q24" s="1039"/>
      <c r="R24" s="1039"/>
      <c r="S24" s="1039"/>
      <c r="T24" s="1039"/>
      <c r="U24" s="1039"/>
      <c r="V24" s="1039"/>
      <c r="W24" s="1039"/>
      <c r="X24" s="1039"/>
      <c r="Y24" s="1039"/>
      <c r="Z24" s="1039"/>
      <c r="AA24" s="1031"/>
      <c r="AB24" s="1044"/>
      <c r="AC24" s="1034"/>
      <c r="AD24" s="1028"/>
      <c r="AE24" s="1034"/>
      <c r="AF24" s="1028"/>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ht="15" customHeight="1" thickBot="1" x14ac:dyDescent="0.25">
      <c r="A25" s="575"/>
      <c r="B25" s="1062"/>
      <c r="C25" s="1051"/>
      <c r="D25" s="324" t="s">
        <v>1009</v>
      </c>
      <c r="E25" s="321" t="s">
        <v>996</v>
      </c>
      <c r="F25" s="1054"/>
      <c r="G25" s="1025"/>
      <c r="H25" s="1040"/>
      <c r="I25" s="1040"/>
      <c r="J25" s="1040"/>
      <c r="K25" s="1040"/>
      <c r="L25" s="1040"/>
      <c r="M25" s="1040"/>
      <c r="N25" s="1040"/>
      <c r="O25" s="1040"/>
      <c r="P25" s="1040"/>
      <c r="Q25" s="1040"/>
      <c r="R25" s="1040"/>
      <c r="S25" s="1040"/>
      <c r="T25" s="1040"/>
      <c r="U25" s="1040"/>
      <c r="V25" s="1040"/>
      <c r="W25" s="1040"/>
      <c r="X25" s="1040"/>
      <c r="Y25" s="1040"/>
      <c r="Z25" s="1040"/>
      <c r="AA25" s="1032"/>
      <c r="AB25" s="1043"/>
      <c r="AC25" s="1035"/>
      <c r="AD25" s="1029"/>
      <c r="AE25" s="1035"/>
      <c r="AF25" s="1029"/>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ht="23.25" thickBot="1" x14ac:dyDescent="0.25">
      <c r="A26" s="575"/>
      <c r="B26" s="325" t="s">
        <v>984</v>
      </c>
      <c r="C26" s="326" t="s">
        <v>1010</v>
      </c>
      <c r="D26" s="327" t="s">
        <v>1011</v>
      </c>
      <c r="E26" s="328" t="s">
        <v>1012</v>
      </c>
      <c r="F26" s="329" t="s">
        <v>876</v>
      </c>
      <c r="G26" s="857"/>
      <c r="H26" s="552"/>
      <c r="I26" s="552"/>
      <c r="J26" s="552"/>
      <c r="K26" s="552"/>
      <c r="L26" s="552"/>
      <c r="M26" s="552"/>
      <c r="N26" s="552"/>
      <c r="O26" s="552"/>
      <c r="P26" s="552"/>
      <c r="Q26" s="552"/>
      <c r="R26" s="552"/>
      <c r="S26" s="552"/>
      <c r="T26" s="552"/>
      <c r="U26" s="552"/>
      <c r="V26" s="552"/>
      <c r="W26" s="552"/>
      <c r="X26" s="552"/>
      <c r="Y26" s="552"/>
      <c r="Z26" s="552"/>
      <c r="AA26" s="620">
        <v>2.5999999999999999E-2</v>
      </c>
      <c r="AB26" s="621" t="s">
        <v>21</v>
      </c>
      <c r="AC26" s="622">
        <f>'Ribassi PE'!$K$29</f>
        <v>0.27</v>
      </c>
      <c r="AD26" s="623">
        <f t="shared" ref="AD26:AD28" si="6">ROUND(AA26*(1-AC26),3)</f>
        <v>1.9E-2</v>
      </c>
      <c r="AE26" s="622">
        <f>'Ribassi PE'!$M$29</f>
        <v>0.6</v>
      </c>
      <c r="AF26" s="623">
        <f t="shared" ref="AF26:AF28" si="7">ROUND(AA26*(1-AE26),3)</f>
        <v>0.01</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ht="12" thickBot="1" x14ac:dyDescent="0.25">
      <c r="A27" s="575"/>
      <c r="B27" s="540" t="s">
        <v>985</v>
      </c>
      <c r="C27" s="1047" t="s">
        <v>1013</v>
      </c>
      <c r="D27" s="542" t="s">
        <v>1014</v>
      </c>
      <c r="E27" s="1055" t="s">
        <v>1015</v>
      </c>
      <c r="F27" s="1045" t="s">
        <v>1200</v>
      </c>
      <c r="G27" s="849"/>
      <c r="H27" s="454"/>
      <c r="I27" s="454"/>
      <c r="J27" s="454"/>
      <c r="K27" s="454"/>
      <c r="L27" s="454"/>
      <c r="M27" s="454"/>
      <c r="N27" s="454"/>
      <c r="O27" s="454"/>
      <c r="P27" s="454"/>
      <c r="Q27" s="454"/>
      <c r="R27" s="454"/>
      <c r="S27" s="454"/>
      <c r="T27" s="454"/>
      <c r="U27" s="454"/>
      <c r="V27" s="454"/>
      <c r="W27" s="454"/>
      <c r="X27" s="454"/>
      <c r="Y27" s="454"/>
      <c r="Z27" s="454"/>
      <c r="AA27" s="624">
        <v>17.221</v>
      </c>
      <c r="AB27" s="625" t="s">
        <v>21</v>
      </c>
      <c r="AC27" s="626">
        <f>'Ribassi PE'!$K$29</f>
        <v>0.27</v>
      </c>
      <c r="AD27" s="627">
        <f t="shared" si="6"/>
        <v>12.571</v>
      </c>
      <c r="AE27" s="626">
        <f>'Ribassi PE'!$M$29</f>
        <v>0.6</v>
      </c>
      <c r="AF27" s="627">
        <f t="shared" si="7"/>
        <v>6.8879999999999999</v>
      </c>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ht="12" thickBot="1" x14ac:dyDescent="0.25">
      <c r="A28" s="575"/>
      <c r="B28" s="541" t="s">
        <v>986</v>
      </c>
      <c r="C28" s="1063"/>
      <c r="D28" s="543" t="s">
        <v>1016</v>
      </c>
      <c r="E28" s="1056"/>
      <c r="F28" s="1058"/>
      <c r="G28" s="850"/>
      <c r="H28" s="455"/>
      <c r="I28" s="455"/>
      <c r="J28" s="455"/>
      <c r="K28" s="455"/>
      <c r="L28" s="455"/>
      <c r="M28" s="455"/>
      <c r="N28" s="455"/>
      <c r="O28" s="455"/>
      <c r="P28" s="455"/>
      <c r="Q28" s="455"/>
      <c r="R28" s="455"/>
      <c r="S28" s="455"/>
      <c r="T28" s="455"/>
      <c r="U28" s="455"/>
      <c r="V28" s="455"/>
      <c r="W28" s="455"/>
      <c r="X28" s="455"/>
      <c r="Y28" s="455"/>
      <c r="Z28" s="455"/>
      <c r="AA28" s="628">
        <v>10.332000000000001</v>
      </c>
      <c r="AB28" s="621" t="s">
        <v>21</v>
      </c>
      <c r="AC28" s="195">
        <f>'Ribassi PE'!$K$29</f>
        <v>0.27</v>
      </c>
      <c r="AD28" s="196">
        <f t="shared" si="6"/>
        <v>7.5419999999999998</v>
      </c>
      <c r="AE28" s="195">
        <f>'Ribassi PE'!$M$29</f>
        <v>0.6</v>
      </c>
      <c r="AF28" s="196">
        <f t="shared" si="7"/>
        <v>4.133</v>
      </c>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ht="10.5" customHeight="1" thickBot="1" x14ac:dyDescent="0.25">
      <c r="A29" s="578"/>
      <c r="B29" s="548" t="s">
        <v>987</v>
      </c>
      <c r="C29" s="1048"/>
      <c r="D29" s="544" t="s">
        <v>1017</v>
      </c>
      <c r="E29" s="1057"/>
      <c r="F29" s="1046"/>
      <c r="G29" s="851"/>
      <c r="H29" s="456"/>
      <c r="I29" s="456"/>
      <c r="J29" s="456"/>
      <c r="K29" s="456"/>
      <c r="L29" s="456"/>
      <c r="M29" s="456"/>
      <c r="N29" s="456"/>
      <c r="O29" s="456"/>
      <c r="P29" s="456"/>
      <c r="Q29" s="456"/>
      <c r="R29" s="456"/>
      <c r="S29" s="456"/>
      <c r="T29" s="456"/>
      <c r="U29" s="456"/>
      <c r="V29" s="456"/>
      <c r="W29" s="456"/>
      <c r="X29" s="456"/>
      <c r="Y29" s="456"/>
      <c r="Z29" s="456"/>
      <c r="AA29" s="629">
        <v>6.8879999999999999</v>
      </c>
      <c r="AB29" s="630" t="s">
        <v>21</v>
      </c>
      <c r="AC29" s="631">
        <f>'Ribassi PE'!$K$29</f>
        <v>0.27</v>
      </c>
      <c r="AD29" s="632">
        <f t="shared" si="0"/>
        <v>5.0279999999999996</v>
      </c>
      <c r="AE29" s="631">
        <f>'Ribassi PE'!$M$29</f>
        <v>0.6</v>
      </c>
      <c r="AF29" s="632">
        <f t="shared" si="1"/>
        <v>2.7549999999999999</v>
      </c>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s="99" customFormat="1" ht="12.75" thickBot="1" x14ac:dyDescent="0.25">
      <c r="A30" s="98"/>
      <c r="B30" s="98"/>
      <c r="C30" s="98"/>
      <c r="D30" s="98"/>
      <c r="E30" s="106"/>
      <c r="F30" s="125" t="s">
        <v>329</v>
      </c>
      <c r="G30" s="126">
        <f t="shared" ref="G30:Z30" si="8">SUMPRODUCT(G7:G29,$AA$7:$AA$29)*G$4</f>
        <v>311904</v>
      </c>
      <c r="H30" s="126">
        <f t="shared" si="8"/>
        <v>0</v>
      </c>
      <c r="I30" s="126">
        <f t="shared" si="8"/>
        <v>0</v>
      </c>
      <c r="J30" s="126">
        <f t="shared" si="8"/>
        <v>0</v>
      </c>
      <c r="K30" s="126">
        <f t="shared" si="8"/>
        <v>0</v>
      </c>
      <c r="L30" s="126">
        <f t="shared" si="8"/>
        <v>0</v>
      </c>
      <c r="M30" s="126">
        <f t="shared" si="8"/>
        <v>0</v>
      </c>
      <c r="N30" s="126">
        <f t="shared" si="8"/>
        <v>0</v>
      </c>
      <c r="O30" s="126">
        <f t="shared" si="8"/>
        <v>0</v>
      </c>
      <c r="P30" s="126">
        <f t="shared" si="8"/>
        <v>0</v>
      </c>
      <c r="Q30" s="126">
        <f t="shared" si="8"/>
        <v>0</v>
      </c>
      <c r="R30" s="126">
        <f t="shared" si="8"/>
        <v>0</v>
      </c>
      <c r="S30" s="126">
        <f t="shared" si="8"/>
        <v>0</v>
      </c>
      <c r="T30" s="126">
        <f t="shared" si="8"/>
        <v>0</v>
      </c>
      <c r="U30" s="126">
        <f t="shared" si="8"/>
        <v>0</v>
      </c>
      <c r="V30" s="126">
        <f t="shared" si="8"/>
        <v>0</v>
      </c>
      <c r="W30" s="126">
        <f t="shared" si="8"/>
        <v>0</v>
      </c>
      <c r="X30" s="126">
        <f t="shared" si="8"/>
        <v>0</v>
      </c>
      <c r="Y30" s="126">
        <f t="shared" si="8"/>
        <v>0</v>
      </c>
      <c r="Z30" s="318">
        <f t="shared" si="8"/>
        <v>0</v>
      </c>
      <c r="AA30" s="107"/>
      <c r="AB30" s="108"/>
      <c r="AC30" s="108"/>
      <c r="AD30" s="108"/>
      <c r="AE30" s="108"/>
      <c r="AF30" s="10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6"/>
    </row>
    <row r="31" spans="1:57" s="99" customFormat="1" ht="12.75" thickBot="1" x14ac:dyDescent="0.25">
      <c r="A31" s="98"/>
      <c r="B31" s="98"/>
      <c r="C31" s="98"/>
      <c r="D31" s="98"/>
      <c r="E31" s="106"/>
      <c r="F31" s="581" t="s">
        <v>330</v>
      </c>
      <c r="G31" s="201">
        <f t="shared" ref="G31:Z31" si="9">SUMPRODUCT(G7:G29,$AD$7:$AD$29)*G$4</f>
        <v>227448</v>
      </c>
      <c r="H31" s="201">
        <f t="shared" si="9"/>
        <v>0</v>
      </c>
      <c r="I31" s="201">
        <f t="shared" si="9"/>
        <v>0</v>
      </c>
      <c r="J31" s="201">
        <f t="shared" si="9"/>
        <v>0</v>
      </c>
      <c r="K31" s="201">
        <f t="shared" si="9"/>
        <v>0</v>
      </c>
      <c r="L31" s="201">
        <f t="shared" si="9"/>
        <v>0</v>
      </c>
      <c r="M31" s="201">
        <f t="shared" si="9"/>
        <v>0</v>
      </c>
      <c r="N31" s="201">
        <f t="shared" si="9"/>
        <v>0</v>
      </c>
      <c r="O31" s="201">
        <f t="shared" si="9"/>
        <v>0</v>
      </c>
      <c r="P31" s="201">
        <f t="shared" si="9"/>
        <v>0</v>
      </c>
      <c r="Q31" s="201">
        <f t="shared" si="9"/>
        <v>0</v>
      </c>
      <c r="R31" s="201">
        <f t="shared" si="9"/>
        <v>0</v>
      </c>
      <c r="S31" s="201">
        <f t="shared" si="9"/>
        <v>0</v>
      </c>
      <c r="T31" s="201">
        <f t="shared" si="9"/>
        <v>0</v>
      </c>
      <c r="U31" s="201">
        <f t="shared" si="9"/>
        <v>0</v>
      </c>
      <c r="V31" s="201">
        <f t="shared" si="9"/>
        <v>0</v>
      </c>
      <c r="W31" s="201">
        <f t="shared" si="9"/>
        <v>0</v>
      </c>
      <c r="X31" s="201">
        <f t="shared" si="9"/>
        <v>0</v>
      </c>
      <c r="Y31" s="201">
        <f t="shared" si="9"/>
        <v>0</v>
      </c>
      <c r="Z31" s="202">
        <f t="shared" si="9"/>
        <v>0</v>
      </c>
      <c r="AA31" s="97"/>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6"/>
    </row>
    <row r="32" spans="1:57" s="99" customFormat="1" ht="12.75" thickBot="1" x14ac:dyDescent="0.25">
      <c r="A32" s="98"/>
      <c r="B32" s="98"/>
      <c r="C32" s="98"/>
      <c r="D32" s="98"/>
      <c r="E32" s="106"/>
      <c r="F32" s="581" t="s">
        <v>331</v>
      </c>
      <c r="G32" s="201">
        <f t="shared" ref="G32:Z32" si="10">SUMPRODUCT(G7:G29,$AF$7:$AF$29)*G$4</f>
        <v>124632</v>
      </c>
      <c r="H32" s="201">
        <f t="shared" si="10"/>
        <v>0</v>
      </c>
      <c r="I32" s="201">
        <f t="shared" si="10"/>
        <v>0</v>
      </c>
      <c r="J32" s="201">
        <f t="shared" si="10"/>
        <v>0</v>
      </c>
      <c r="K32" s="201">
        <f t="shared" si="10"/>
        <v>0</v>
      </c>
      <c r="L32" s="201">
        <f t="shared" si="10"/>
        <v>0</v>
      </c>
      <c r="M32" s="201">
        <f t="shared" si="10"/>
        <v>0</v>
      </c>
      <c r="N32" s="201">
        <f t="shared" si="10"/>
        <v>0</v>
      </c>
      <c r="O32" s="201">
        <f t="shared" si="10"/>
        <v>0</v>
      </c>
      <c r="P32" s="201">
        <f t="shared" si="10"/>
        <v>0</v>
      </c>
      <c r="Q32" s="201">
        <f t="shared" si="10"/>
        <v>0</v>
      </c>
      <c r="R32" s="201">
        <f t="shared" si="10"/>
        <v>0</v>
      </c>
      <c r="S32" s="201">
        <f t="shared" si="10"/>
        <v>0</v>
      </c>
      <c r="T32" s="201">
        <f t="shared" si="10"/>
        <v>0</v>
      </c>
      <c r="U32" s="201">
        <f t="shared" si="10"/>
        <v>0</v>
      </c>
      <c r="V32" s="201">
        <f t="shared" si="10"/>
        <v>0</v>
      </c>
      <c r="W32" s="201">
        <f t="shared" si="10"/>
        <v>0</v>
      </c>
      <c r="X32" s="201">
        <f t="shared" si="10"/>
        <v>0</v>
      </c>
      <c r="Y32" s="201">
        <f t="shared" si="10"/>
        <v>0</v>
      </c>
      <c r="Z32" s="202">
        <f t="shared" si="10"/>
        <v>0</v>
      </c>
      <c r="AA32" s="97"/>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6"/>
    </row>
    <row r="33" spans="1:57" x14ac:dyDescent="0.2">
      <c r="A33" s="576"/>
      <c r="B33" s="98"/>
      <c r="C33" s="98"/>
      <c r="D33" s="98"/>
      <c r="E33" s="98"/>
      <c r="F33" s="98"/>
      <c r="G33" s="576"/>
      <c r="H33" s="576"/>
      <c r="I33" s="576"/>
      <c r="J33" s="576"/>
      <c r="K33" s="576"/>
      <c r="L33" s="576"/>
      <c r="M33" s="576"/>
      <c r="N33" s="576"/>
      <c r="O33" s="576"/>
      <c r="P33" s="576"/>
      <c r="Q33" s="576"/>
      <c r="R33" s="576"/>
      <c r="S33" s="576"/>
      <c r="T33" s="576"/>
      <c r="U33" s="576"/>
      <c r="V33" s="576"/>
      <c r="W33" s="576"/>
      <c r="X33" s="576"/>
      <c r="Y33" s="576"/>
      <c r="Z33" s="576"/>
      <c r="AA33" s="98"/>
      <c r="AB33" s="98"/>
      <c r="AC33" s="98"/>
      <c r="AD33" s="98"/>
      <c r="AE33" s="98"/>
      <c r="AF33" s="98"/>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x14ac:dyDescent="0.2">
      <c r="A34" s="576"/>
      <c r="B34" s="98"/>
      <c r="C34" s="98"/>
      <c r="D34" s="98"/>
      <c r="E34" s="98"/>
      <c r="F34" s="98"/>
      <c r="G34" s="576"/>
      <c r="H34" s="576"/>
      <c r="I34" s="576"/>
      <c r="J34" s="576"/>
      <c r="K34" s="576"/>
      <c r="L34" s="576"/>
      <c r="M34" s="576"/>
      <c r="N34" s="576"/>
      <c r="O34" s="576"/>
      <c r="P34" s="576"/>
      <c r="Q34" s="576"/>
      <c r="R34" s="576"/>
      <c r="S34" s="576"/>
      <c r="T34" s="576"/>
      <c r="U34" s="576"/>
      <c r="V34" s="576"/>
      <c r="W34" s="576"/>
      <c r="X34" s="576"/>
      <c r="Y34" s="576"/>
      <c r="Z34" s="576"/>
      <c r="AA34" s="98"/>
      <c r="AB34" s="98"/>
      <c r="AC34" s="98"/>
      <c r="AD34" s="98"/>
      <c r="AE34" s="98"/>
      <c r="AF34" s="98"/>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x14ac:dyDescent="0.2">
      <c r="A35" s="576"/>
      <c r="B35" s="98"/>
      <c r="C35" s="98"/>
      <c r="D35" s="98"/>
      <c r="E35" s="98"/>
      <c r="F35" s="98"/>
      <c r="G35" s="576"/>
      <c r="H35" s="576"/>
      <c r="I35" s="576"/>
      <c r="J35" s="576"/>
      <c r="K35" s="576"/>
      <c r="L35" s="576"/>
      <c r="M35" s="576"/>
      <c r="N35" s="576"/>
      <c r="O35" s="576"/>
      <c r="P35" s="576"/>
      <c r="Q35" s="576"/>
      <c r="R35" s="576"/>
      <c r="S35" s="576"/>
      <c r="T35" s="576"/>
      <c r="U35" s="576"/>
      <c r="V35" s="576"/>
      <c r="W35" s="576"/>
      <c r="X35" s="576"/>
      <c r="Y35" s="576"/>
      <c r="Z35" s="576"/>
      <c r="AA35" s="98"/>
      <c r="AB35" s="98"/>
      <c r="AC35" s="98"/>
      <c r="AD35" s="98"/>
      <c r="AE35" s="98"/>
      <c r="AF35" s="98"/>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x14ac:dyDescent="0.2">
      <c r="A36" s="576"/>
      <c r="B36" s="98"/>
      <c r="C36" s="98"/>
      <c r="D36" s="98"/>
      <c r="E36" s="98"/>
      <c r="F36" s="98"/>
      <c r="G36" s="576"/>
      <c r="H36" s="576"/>
      <c r="I36" s="576"/>
      <c r="J36" s="576"/>
      <c r="K36" s="576"/>
      <c r="L36" s="576"/>
      <c r="M36" s="576"/>
      <c r="N36" s="576"/>
      <c r="O36" s="576"/>
      <c r="P36" s="576"/>
      <c r="Q36" s="576"/>
      <c r="R36" s="576"/>
      <c r="S36" s="576"/>
      <c r="T36" s="576"/>
      <c r="U36" s="576"/>
      <c r="V36" s="576"/>
      <c r="W36" s="576"/>
      <c r="X36" s="576"/>
      <c r="Y36" s="576"/>
      <c r="Z36" s="576"/>
      <c r="AA36" s="98"/>
      <c r="AB36" s="98"/>
      <c r="AC36" s="98"/>
      <c r="AD36" s="98"/>
      <c r="AE36" s="98"/>
      <c r="AF36" s="98"/>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6"/>
      <c r="B82" s="98"/>
      <c r="C82" s="98"/>
      <c r="D82" s="98"/>
      <c r="E82" s="98"/>
      <c r="F82" s="98"/>
      <c r="G82" s="576"/>
      <c r="H82" s="576"/>
      <c r="I82" s="576"/>
      <c r="J82" s="576"/>
      <c r="K82" s="576"/>
      <c r="L82" s="576"/>
      <c r="M82" s="576"/>
      <c r="N82" s="576"/>
      <c r="O82" s="576"/>
      <c r="P82" s="576"/>
      <c r="Q82" s="576"/>
      <c r="R82" s="576"/>
      <c r="S82" s="576"/>
      <c r="T82" s="576"/>
      <c r="U82" s="576"/>
      <c r="V82" s="576"/>
      <c r="W82" s="576"/>
      <c r="X82" s="576"/>
      <c r="Y82" s="576"/>
      <c r="Z82" s="576"/>
      <c r="AA82" s="98"/>
      <c r="AB82" s="98"/>
      <c r="AC82" s="98"/>
      <c r="AD82" s="98"/>
      <c r="AE82" s="98"/>
      <c r="AF82" s="98"/>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7"/>
    </row>
    <row r="83" spans="1:57" x14ac:dyDescent="0.2">
      <c r="A83" s="576"/>
      <c r="B83" s="98"/>
      <c r="C83" s="98"/>
      <c r="D83" s="98"/>
      <c r="E83" s="98"/>
      <c r="F83" s="98"/>
      <c r="G83" s="576"/>
      <c r="H83" s="576"/>
      <c r="I83" s="576"/>
      <c r="J83" s="576"/>
      <c r="K83" s="576"/>
      <c r="L83" s="576"/>
      <c r="M83" s="576"/>
      <c r="N83" s="576"/>
      <c r="O83" s="576"/>
      <c r="P83" s="576"/>
      <c r="Q83" s="576"/>
      <c r="R83" s="576"/>
      <c r="S83" s="576"/>
      <c r="T83" s="576"/>
      <c r="U83" s="576"/>
      <c r="V83" s="576"/>
      <c r="W83" s="576"/>
      <c r="X83" s="576"/>
      <c r="Y83" s="576"/>
      <c r="Z83" s="576"/>
      <c r="AA83" s="98"/>
      <c r="AB83" s="98"/>
      <c r="AC83" s="98"/>
      <c r="AD83" s="98"/>
      <c r="AE83" s="98"/>
      <c r="AF83" s="98"/>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7"/>
    </row>
    <row r="84" spans="1:57" x14ac:dyDescent="0.2">
      <c r="A84" s="576"/>
      <c r="B84" s="98"/>
      <c r="C84" s="98"/>
      <c r="D84" s="98"/>
      <c r="E84" s="98"/>
      <c r="F84" s="98"/>
      <c r="G84" s="576"/>
      <c r="H84" s="576"/>
      <c r="I84" s="576"/>
      <c r="J84" s="576"/>
      <c r="K84" s="576"/>
      <c r="L84" s="576"/>
      <c r="M84" s="576"/>
      <c r="N84" s="576"/>
      <c r="O84" s="576"/>
      <c r="P84" s="576"/>
      <c r="Q84" s="576"/>
      <c r="R84" s="576"/>
      <c r="S84" s="576"/>
      <c r="T84" s="576"/>
      <c r="U84" s="576"/>
      <c r="V84" s="576"/>
      <c r="W84" s="576"/>
      <c r="X84" s="576"/>
      <c r="Y84" s="576"/>
      <c r="Z84" s="576"/>
      <c r="AA84" s="98"/>
      <c r="AB84" s="98"/>
      <c r="AC84" s="98"/>
      <c r="AD84" s="98"/>
      <c r="AE84" s="98"/>
      <c r="AF84" s="98"/>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7"/>
    </row>
    <row r="85" spans="1:57" x14ac:dyDescent="0.2">
      <c r="A85" s="576"/>
      <c r="B85" s="98"/>
      <c r="C85" s="98"/>
      <c r="D85" s="98"/>
      <c r="E85" s="98"/>
      <c r="F85" s="98"/>
      <c r="G85" s="576"/>
      <c r="H85" s="576"/>
      <c r="I85" s="576"/>
      <c r="J85" s="576"/>
      <c r="K85" s="576"/>
      <c r="L85" s="576"/>
      <c r="M85" s="576"/>
      <c r="N85" s="576"/>
      <c r="O85" s="576"/>
      <c r="P85" s="576"/>
      <c r="Q85" s="576"/>
      <c r="R85" s="576"/>
      <c r="S85" s="576"/>
      <c r="T85" s="576"/>
      <c r="U85" s="576"/>
      <c r="V85" s="576"/>
      <c r="W85" s="576"/>
      <c r="X85" s="576"/>
      <c r="Y85" s="576"/>
      <c r="Z85" s="576"/>
      <c r="AA85" s="98"/>
      <c r="AB85" s="98"/>
      <c r="AC85" s="98"/>
      <c r="AD85" s="98"/>
      <c r="AE85" s="98"/>
      <c r="AF85" s="98"/>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7"/>
    </row>
    <row r="86" spans="1:57" x14ac:dyDescent="0.2">
      <c r="A86" s="576"/>
      <c r="B86" s="98"/>
      <c r="C86" s="98"/>
      <c r="D86" s="98"/>
      <c r="E86" s="98"/>
      <c r="F86" s="98"/>
      <c r="G86" s="576"/>
      <c r="H86" s="576"/>
      <c r="I86" s="576"/>
      <c r="J86" s="576"/>
      <c r="K86" s="576"/>
      <c r="L86" s="576"/>
      <c r="M86" s="576"/>
      <c r="N86" s="576"/>
      <c r="O86" s="576"/>
      <c r="P86" s="576"/>
      <c r="Q86" s="576"/>
      <c r="R86" s="576"/>
      <c r="S86" s="576"/>
      <c r="T86" s="576"/>
      <c r="U86" s="576"/>
      <c r="V86" s="576"/>
      <c r="W86" s="576"/>
      <c r="X86" s="576"/>
      <c r="Y86" s="576"/>
      <c r="Z86" s="576"/>
      <c r="AA86" s="98"/>
      <c r="AB86" s="98"/>
      <c r="AC86" s="98"/>
      <c r="AD86" s="98"/>
      <c r="AE86" s="98"/>
      <c r="AF86" s="98"/>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7"/>
    </row>
    <row r="87" spans="1:57" x14ac:dyDescent="0.2">
      <c r="A87" s="576"/>
      <c r="B87" s="98"/>
      <c r="C87" s="98"/>
      <c r="D87" s="98"/>
      <c r="E87" s="98"/>
      <c r="F87" s="98"/>
      <c r="G87" s="576"/>
      <c r="H87" s="576"/>
      <c r="I87" s="576"/>
      <c r="J87" s="576"/>
      <c r="K87" s="576"/>
      <c r="L87" s="576"/>
      <c r="M87" s="576"/>
      <c r="N87" s="576"/>
      <c r="O87" s="576"/>
      <c r="P87" s="576"/>
      <c r="Q87" s="576"/>
      <c r="R87" s="576"/>
      <c r="S87" s="576"/>
      <c r="T87" s="576"/>
      <c r="U87" s="576"/>
      <c r="V87" s="576"/>
      <c r="W87" s="576"/>
      <c r="X87" s="576"/>
      <c r="Y87" s="576"/>
      <c r="Z87" s="576"/>
      <c r="AA87" s="98"/>
      <c r="AB87" s="98"/>
      <c r="AC87" s="98"/>
      <c r="AD87" s="98"/>
      <c r="AE87" s="98"/>
      <c r="AF87" s="98"/>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7"/>
    </row>
    <row r="88" spans="1:57" x14ac:dyDescent="0.2">
      <c r="A88" s="576"/>
      <c r="B88" s="98"/>
      <c r="C88" s="98"/>
      <c r="D88" s="98"/>
      <c r="E88" s="98"/>
      <c r="F88" s="98"/>
      <c r="G88" s="576"/>
      <c r="H88" s="576"/>
      <c r="I88" s="576"/>
      <c r="J88" s="576"/>
      <c r="K88" s="576"/>
      <c r="L88" s="576"/>
      <c r="M88" s="576"/>
      <c r="N88" s="576"/>
      <c r="O88" s="576"/>
      <c r="P88" s="576"/>
      <c r="Q88" s="576"/>
      <c r="R88" s="576"/>
      <c r="S88" s="576"/>
      <c r="T88" s="576"/>
      <c r="U88" s="576"/>
      <c r="V88" s="576"/>
      <c r="W88" s="576"/>
      <c r="X88" s="576"/>
      <c r="Y88" s="576"/>
      <c r="Z88" s="576"/>
      <c r="AA88" s="98"/>
      <c r="AB88" s="98"/>
      <c r="AC88" s="98"/>
      <c r="AD88" s="98"/>
      <c r="AE88" s="98"/>
      <c r="AF88" s="98"/>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7"/>
    </row>
    <row r="89" spans="1:57" x14ac:dyDescent="0.2">
      <c r="A89" s="576"/>
      <c r="B89" s="98"/>
      <c r="C89" s="98"/>
      <c r="D89" s="98"/>
      <c r="E89" s="98"/>
      <c r="F89" s="98"/>
      <c r="G89" s="576"/>
      <c r="H89" s="576"/>
      <c r="I89" s="576"/>
      <c r="J89" s="576"/>
      <c r="K89" s="576"/>
      <c r="L89" s="576"/>
      <c r="M89" s="576"/>
      <c r="N89" s="576"/>
      <c r="O89" s="576"/>
      <c r="P89" s="576"/>
      <c r="Q89" s="576"/>
      <c r="R89" s="576"/>
      <c r="S89" s="576"/>
      <c r="T89" s="576"/>
      <c r="U89" s="576"/>
      <c r="V89" s="576"/>
      <c r="W89" s="576"/>
      <c r="X89" s="576"/>
      <c r="Y89" s="576"/>
      <c r="Z89" s="576"/>
      <c r="AA89" s="98"/>
      <c r="AB89" s="98"/>
      <c r="AC89" s="98"/>
      <c r="AD89" s="98"/>
      <c r="AE89" s="98"/>
      <c r="AF89" s="98"/>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7"/>
    </row>
    <row r="90" spans="1:57" x14ac:dyDescent="0.2">
      <c r="A90" s="576"/>
      <c r="B90" s="98"/>
      <c r="C90" s="98"/>
      <c r="D90" s="98"/>
      <c r="E90" s="98"/>
      <c r="F90" s="98"/>
      <c r="G90" s="576"/>
      <c r="H90" s="576"/>
      <c r="I90" s="576"/>
      <c r="J90" s="576"/>
      <c r="K90" s="576"/>
      <c r="L90" s="576"/>
      <c r="M90" s="576"/>
      <c r="N90" s="576"/>
      <c r="O90" s="576"/>
      <c r="P90" s="576"/>
      <c r="Q90" s="576"/>
      <c r="R90" s="576"/>
      <c r="S90" s="576"/>
      <c r="T90" s="576"/>
      <c r="U90" s="576"/>
      <c r="V90" s="576"/>
      <c r="W90" s="576"/>
      <c r="X90" s="576"/>
      <c r="Y90" s="576"/>
      <c r="Z90" s="576"/>
      <c r="AA90" s="98"/>
      <c r="AB90" s="98"/>
      <c r="AC90" s="98"/>
      <c r="AD90" s="98"/>
      <c r="AE90" s="98"/>
      <c r="AF90" s="98"/>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6"/>
      <c r="BE90" s="577"/>
    </row>
    <row r="91" spans="1:57" x14ac:dyDescent="0.2">
      <c r="A91" s="576"/>
      <c r="B91" s="98"/>
      <c r="C91" s="98"/>
      <c r="D91" s="98"/>
      <c r="E91" s="98"/>
      <c r="F91" s="98"/>
      <c r="G91" s="576"/>
      <c r="H91" s="576"/>
      <c r="I91" s="576"/>
      <c r="J91" s="576"/>
      <c r="K91" s="576"/>
      <c r="L91" s="576"/>
      <c r="M91" s="576"/>
      <c r="N91" s="576"/>
      <c r="O91" s="576"/>
      <c r="P91" s="576"/>
      <c r="Q91" s="576"/>
      <c r="R91" s="576"/>
      <c r="S91" s="576"/>
      <c r="T91" s="576"/>
      <c r="U91" s="576"/>
      <c r="V91" s="576"/>
      <c r="W91" s="576"/>
      <c r="X91" s="576"/>
      <c r="Y91" s="576"/>
      <c r="Z91" s="576"/>
      <c r="AA91" s="98"/>
      <c r="AB91" s="98"/>
      <c r="AC91" s="98"/>
      <c r="AD91" s="98"/>
      <c r="AE91" s="98"/>
      <c r="AF91" s="98"/>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6"/>
      <c r="BE91" s="577"/>
    </row>
    <row r="92" spans="1:57" x14ac:dyDescent="0.2">
      <c r="A92" s="576"/>
      <c r="B92" s="98"/>
      <c r="C92" s="98"/>
      <c r="D92" s="98"/>
      <c r="E92" s="98"/>
      <c r="F92" s="98"/>
      <c r="G92" s="576"/>
      <c r="H92" s="576"/>
      <c r="I92" s="576"/>
      <c r="J92" s="576"/>
      <c r="K92" s="576"/>
      <c r="L92" s="576"/>
      <c r="M92" s="576"/>
      <c r="N92" s="576"/>
      <c r="O92" s="576"/>
      <c r="P92" s="576"/>
      <c r="Q92" s="576"/>
      <c r="R92" s="576"/>
      <c r="S92" s="576"/>
      <c r="T92" s="576"/>
      <c r="U92" s="576"/>
      <c r="V92" s="576"/>
      <c r="W92" s="576"/>
      <c r="X92" s="576"/>
      <c r="Y92" s="576"/>
      <c r="Z92" s="576"/>
      <c r="AA92" s="98"/>
      <c r="AB92" s="98"/>
      <c r="AC92" s="98"/>
      <c r="AD92" s="98"/>
      <c r="AE92" s="98"/>
      <c r="AF92" s="98"/>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6"/>
      <c r="BE92" s="577"/>
    </row>
    <row r="93" spans="1:57" x14ac:dyDescent="0.2">
      <c r="A93" s="576"/>
      <c r="B93" s="98"/>
      <c r="C93" s="98"/>
      <c r="D93" s="98"/>
      <c r="E93" s="98"/>
      <c r="F93" s="98"/>
      <c r="G93" s="576"/>
      <c r="H93" s="576"/>
      <c r="I93" s="576"/>
      <c r="J93" s="576"/>
      <c r="K93" s="576"/>
      <c r="L93" s="576"/>
      <c r="M93" s="576"/>
      <c r="N93" s="576"/>
      <c r="O93" s="576"/>
      <c r="P93" s="576"/>
      <c r="Q93" s="576"/>
      <c r="R93" s="576"/>
      <c r="S93" s="576"/>
      <c r="T93" s="576"/>
      <c r="U93" s="576"/>
      <c r="V93" s="576"/>
      <c r="W93" s="576"/>
      <c r="X93" s="576"/>
      <c r="Y93" s="576"/>
      <c r="Z93" s="576"/>
      <c r="AA93" s="98"/>
      <c r="AB93" s="98"/>
      <c r="AC93" s="98"/>
      <c r="AD93" s="98"/>
      <c r="AE93" s="98"/>
      <c r="AF93" s="98"/>
      <c r="AG93" s="576"/>
      <c r="AH93" s="576"/>
      <c r="AI93" s="576"/>
      <c r="AJ93" s="576"/>
      <c r="AK93" s="576"/>
      <c r="AL93" s="576"/>
      <c r="AM93" s="576"/>
      <c r="AN93" s="576"/>
      <c r="AO93" s="576"/>
      <c r="AP93" s="576"/>
      <c r="AQ93" s="576"/>
      <c r="AR93" s="576"/>
      <c r="AS93" s="576"/>
      <c r="AT93" s="576"/>
      <c r="AU93" s="576"/>
      <c r="AV93" s="576"/>
      <c r="AW93" s="576"/>
      <c r="AX93" s="576"/>
      <c r="AY93" s="576"/>
      <c r="AZ93" s="576"/>
      <c r="BA93" s="576"/>
      <c r="BB93" s="576"/>
      <c r="BC93" s="576"/>
      <c r="BD93" s="576"/>
      <c r="BE93" s="577"/>
    </row>
    <row r="94" spans="1:57" x14ac:dyDescent="0.2">
      <c r="A94" s="576"/>
      <c r="B94" s="98"/>
      <c r="C94" s="98"/>
      <c r="D94" s="98"/>
      <c r="E94" s="98"/>
      <c r="F94" s="98"/>
      <c r="G94" s="576"/>
      <c r="H94" s="576"/>
      <c r="I94" s="576"/>
      <c r="J94" s="576"/>
      <c r="K94" s="576"/>
      <c r="L94" s="576"/>
      <c r="M94" s="576"/>
      <c r="N94" s="576"/>
      <c r="O94" s="576"/>
      <c r="P94" s="576"/>
      <c r="Q94" s="576"/>
      <c r="R94" s="576"/>
      <c r="S94" s="576"/>
      <c r="T94" s="576"/>
      <c r="U94" s="576"/>
      <c r="V94" s="576"/>
      <c r="W94" s="576"/>
      <c r="X94" s="576"/>
      <c r="Y94" s="576"/>
      <c r="Z94" s="576"/>
      <c r="AA94" s="98"/>
      <c r="AB94" s="98"/>
      <c r="AC94" s="98"/>
      <c r="AD94" s="98"/>
      <c r="AE94" s="98"/>
      <c r="AF94" s="98"/>
      <c r="AG94" s="576"/>
      <c r="AH94" s="576"/>
      <c r="AI94" s="576"/>
      <c r="AJ94" s="576"/>
      <c r="AK94" s="576"/>
      <c r="AL94" s="576"/>
      <c r="AM94" s="576"/>
      <c r="AN94" s="576"/>
      <c r="AO94" s="576"/>
      <c r="AP94" s="576"/>
      <c r="AQ94" s="576"/>
      <c r="AR94" s="576"/>
      <c r="AS94" s="576"/>
      <c r="AT94" s="576"/>
      <c r="AU94" s="576"/>
      <c r="AV94" s="576"/>
      <c r="AW94" s="576"/>
      <c r="AX94" s="576"/>
      <c r="AY94" s="576"/>
      <c r="AZ94" s="576"/>
      <c r="BA94" s="576"/>
      <c r="BB94" s="576"/>
      <c r="BC94" s="576"/>
      <c r="BD94" s="576"/>
      <c r="BE94" s="577"/>
    </row>
    <row r="95" spans="1:57" x14ac:dyDescent="0.2">
      <c r="A95" s="576"/>
      <c r="B95" s="98"/>
      <c r="C95" s="98"/>
      <c r="D95" s="98"/>
      <c r="E95" s="98"/>
      <c r="F95" s="98"/>
      <c r="G95" s="576"/>
      <c r="H95" s="576"/>
      <c r="I95" s="576"/>
      <c r="J95" s="576"/>
      <c r="K95" s="576"/>
      <c r="L95" s="576"/>
      <c r="M95" s="576"/>
      <c r="N95" s="576"/>
      <c r="O95" s="576"/>
      <c r="P95" s="576"/>
      <c r="Q95" s="576"/>
      <c r="R95" s="576"/>
      <c r="S95" s="576"/>
      <c r="T95" s="576"/>
      <c r="U95" s="576"/>
      <c r="V95" s="576"/>
      <c r="W95" s="576"/>
      <c r="X95" s="576"/>
      <c r="Y95" s="576"/>
      <c r="Z95" s="576"/>
      <c r="AA95" s="98"/>
      <c r="AB95" s="98"/>
      <c r="AC95" s="98"/>
      <c r="AD95" s="98"/>
      <c r="AE95" s="98"/>
      <c r="AF95" s="98"/>
      <c r="AG95" s="576"/>
      <c r="AH95" s="576"/>
      <c r="AI95" s="576"/>
      <c r="AJ95" s="576"/>
      <c r="AK95" s="576"/>
      <c r="AL95" s="576"/>
      <c r="AM95" s="576"/>
      <c r="AN95" s="576"/>
      <c r="AO95" s="576"/>
      <c r="AP95" s="576"/>
      <c r="AQ95" s="576"/>
      <c r="AR95" s="576"/>
      <c r="AS95" s="576"/>
      <c r="AT95" s="576"/>
      <c r="AU95" s="576"/>
      <c r="AV95" s="576"/>
      <c r="AW95" s="576"/>
      <c r="AX95" s="576"/>
      <c r="AY95" s="576"/>
      <c r="AZ95" s="576"/>
      <c r="BA95" s="576"/>
      <c r="BB95" s="576"/>
      <c r="BC95" s="576"/>
      <c r="BD95" s="576"/>
      <c r="BE95" s="577"/>
    </row>
    <row r="96" spans="1:57" x14ac:dyDescent="0.2">
      <c r="A96" s="576"/>
      <c r="B96" s="98"/>
      <c r="C96" s="98"/>
      <c r="D96" s="98"/>
      <c r="E96" s="98"/>
      <c r="F96" s="98"/>
      <c r="G96" s="576"/>
      <c r="H96" s="576"/>
      <c r="I96" s="576"/>
      <c r="J96" s="576"/>
      <c r="K96" s="576"/>
      <c r="L96" s="576"/>
      <c r="M96" s="576"/>
      <c r="N96" s="576"/>
      <c r="O96" s="576"/>
      <c r="P96" s="576"/>
      <c r="Q96" s="576"/>
      <c r="R96" s="576"/>
      <c r="S96" s="576"/>
      <c r="T96" s="576"/>
      <c r="U96" s="576"/>
      <c r="V96" s="576"/>
      <c r="W96" s="576"/>
      <c r="X96" s="576"/>
      <c r="Y96" s="576"/>
      <c r="Z96" s="576"/>
      <c r="AA96" s="98"/>
      <c r="AB96" s="98"/>
      <c r="AC96" s="98"/>
      <c r="AD96" s="98"/>
      <c r="AE96" s="98"/>
      <c r="AF96" s="98"/>
      <c r="AG96" s="576"/>
      <c r="AH96" s="576"/>
      <c r="AI96" s="576"/>
      <c r="AJ96" s="576"/>
      <c r="AK96" s="576"/>
      <c r="AL96" s="576"/>
      <c r="AM96" s="576"/>
      <c r="AN96" s="576"/>
      <c r="AO96" s="576"/>
      <c r="AP96" s="576"/>
      <c r="AQ96" s="576"/>
      <c r="AR96" s="576"/>
      <c r="AS96" s="576"/>
      <c r="AT96" s="576"/>
      <c r="AU96" s="576"/>
      <c r="AV96" s="576"/>
      <c r="AW96" s="576"/>
      <c r="AX96" s="576"/>
      <c r="AY96" s="576"/>
      <c r="AZ96" s="576"/>
      <c r="BA96" s="576"/>
      <c r="BB96" s="576"/>
      <c r="BC96" s="576"/>
      <c r="BD96" s="576"/>
      <c r="BE96" s="577"/>
    </row>
    <row r="97" spans="1:57" x14ac:dyDescent="0.2">
      <c r="A97" s="579"/>
      <c r="B97" s="100"/>
      <c r="C97" s="100"/>
      <c r="D97" s="100"/>
      <c r="E97" s="100"/>
      <c r="F97" s="100"/>
      <c r="G97" s="579"/>
      <c r="H97" s="579"/>
      <c r="I97" s="579"/>
      <c r="J97" s="579"/>
      <c r="K97" s="579"/>
      <c r="L97" s="579"/>
      <c r="M97" s="579"/>
      <c r="N97" s="579"/>
      <c r="O97" s="579"/>
      <c r="P97" s="579"/>
      <c r="Q97" s="579"/>
      <c r="R97" s="579"/>
      <c r="S97" s="579"/>
      <c r="T97" s="579"/>
      <c r="U97" s="579"/>
      <c r="V97" s="579"/>
      <c r="W97" s="579"/>
      <c r="X97" s="579"/>
      <c r="Y97" s="579"/>
      <c r="Z97" s="579"/>
      <c r="AA97" s="100"/>
      <c r="AB97" s="100"/>
      <c r="AC97" s="100"/>
      <c r="AD97" s="100"/>
      <c r="AE97" s="100"/>
      <c r="AF97" s="100"/>
      <c r="AG97" s="579"/>
      <c r="AH97" s="579"/>
      <c r="AI97" s="579"/>
      <c r="AJ97" s="579"/>
      <c r="AK97" s="579"/>
      <c r="AL97" s="579"/>
      <c r="AM97" s="579"/>
      <c r="AN97" s="579"/>
      <c r="AO97" s="579"/>
      <c r="AP97" s="579"/>
      <c r="AQ97" s="579"/>
      <c r="AR97" s="579"/>
      <c r="AS97" s="579"/>
      <c r="AT97" s="579"/>
      <c r="AU97" s="579"/>
      <c r="AV97" s="579"/>
      <c r="AW97" s="579"/>
      <c r="AX97" s="579"/>
      <c r="AY97" s="579"/>
      <c r="AZ97" s="579"/>
      <c r="BA97" s="579"/>
      <c r="BB97" s="579"/>
      <c r="BC97" s="579"/>
      <c r="BD97" s="579"/>
      <c r="BE97" s="580"/>
    </row>
  </sheetData>
  <sheetProtection algorithmName="SHA-512" hashValue="yY/z5Uf0QrQbWXlq/V13m4Br/SUoyfy3mHmPMB7V3zbvJP4EPhI8+vn4W0oCRGZVOlCstmjTJ/KyaylPXnqN+Q==" saltValue="Rt9QwVrMO5lqQDzxCsn8wA==" spinCount="100000" sheet="1" selectLockedCells="1"/>
  <dataConsolidate link="1"/>
  <mergeCells count="206">
    <mergeCell ref="C7:C9"/>
    <mergeCell ref="F7:F9"/>
    <mergeCell ref="C10:C12"/>
    <mergeCell ref="F10:F12"/>
    <mergeCell ref="C13:C15"/>
    <mergeCell ref="F13:F15"/>
    <mergeCell ref="C16:C18"/>
    <mergeCell ref="F16:F18"/>
    <mergeCell ref="B7:B9"/>
    <mergeCell ref="B10:B12"/>
    <mergeCell ref="B13:B15"/>
    <mergeCell ref="B16:B18"/>
    <mergeCell ref="F19:F20"/>
    <mergeCell ref="C21:C22"/>
    <mergeCell ref="F21:F22"/>
    <mergeCell ref="C23:C25"/>
    <mergeCell ref="F23:F25"/>
    <mergeCell ref="E27:E29"/>
    <mergeCell ref="F27:F29"/>
    <mergeCell ref="B21:B22"/>
    <mergeCell ref="B23:B25"/>
    <mergeCell ref="B19:B20"/>
    <mergeCell ref="C27:C29"/>
    <mergeCell ref="C19:C20"/>
    <mergeCell ref="H7:H9"/>
    <mergeCell ref="I7:I9"/>
    <mergeCell ref="J7:J9"/>
    <mergeCell ref="X10:X12"/>
    <mergeCell ref="M10:M12"/>
    <mergeCell ref="N10:N12"/>
    <mergeCell ref="O10:O12"/>
    <mergeCell ref="P10:P12"/>
    <mergeCell ref="Q10:Q12"/>
    <mergeCell ref="R10:R12"/>
    <mergeCell ref="S10:S12"/>
    <mergeCell ref="T10:T12"/>
    <mergeCell ref="K7:K9"/>
    <mergeCell ref="L7:L9"/>
    <mergeCell ref="M7:M9"/>
    <mergeCell ref="N7:N9"/>
    <mergeCell ref="H10:H12"/>
    <mergeCell ref="I10:I12"/>
    <mergeCell ref="AA10:AA12"/>
    <mergeCell ref="AA13:AA15"/>
    <mergeCell ref="O7:O9"/>
    <mergeCell ref="T7:T9"/>
    <mergeCell ref="U7:U9"/>
    <mergeCell ref="J10:J12"/>
    <mergeCell ref="K10:K12"/>
    <mergeCell ref="L10:L12"/>
    <mergeCell ref="U10:U12"/>
    <mergeCell ref="V10:V12"/>
    <mergeCell ref="W10:W12"/>
    <mergeCell ref="P7:P9"/>
    <mergeCell ref="Q7:Q9"/>
    <mergeCell ref="R7:R9"/>
    <mergeCell ref="S7:S9"/>
    <mergeCell ref="T13:T15"/>
    <mergeCell ref="U13:U15"/>
    <mergeCell ref="H16:H18"/>
    <mergeCell ref="I16:I18"/>
    <mergeCell ref="J16:J18"/>
    <mergeCell ref="K16:K18"/>
    <mergeCell ref="L16:L18"/>
    <mergeCell ref="P13:P15"/>
    <mergeCell ref="Q13:Q15"/>
    <mergeCell ref="R13:R15"/>
    <mergeCell ref="S13:S15"/>
    <mergeCell ref="S16:S18"/>
    <mergeCell ref="I13:I15"/>
    <mergeCell ref="J13:J15"/>
    <mergeCell ref="K13:K15"/>
    <mergeCell ref="L13:L15"/>
    <mergeCell ref="M13:M15"/>
    <mergeCell ref="N13:N15"/>
    <mergeCell ref="O13:O15"/>
    <mergeCell ref="H13:H15"/>
    <mergeCell ref="T16:T18"/>
    <mergeCell ref="U16:U18"/>
    <mergeCell ref="V16:V18"/>
    <mergeCell ref="W16:W18"/>
    <mergeCell ref="X16:X18"/>
    <mergeCell ref="M16:M18"/>
    <mergeCell ref="N16:N18"/>
    <mergeCell ref="O16:O18"/>
    <mergeCell ref="P16:P18"/>
    <mergeCell ref="Q16:Q18"/>
    <mergeCell ref="R16:R18"/>
    <mergeCell ref="P19:P20"/>
    <mergeCell ref="Q19:Q20"/>
    <mergeCell ref="R19:R20"/>
    <mergeCell ref="S19:S20"/>
    <mergeCell ref="H19:H20"/>
    <mergeCell ref="I19:I20"/>
    <mergeCell ref="J19:J20"/>
    <mergeCell ref="K19:K20"/>
    <mergeCell ref="L19:L20"/>
    <mergeCell ref="M19:M20"/>
    <mergeCell ref="N19:N20"/>
    <mergeCell ref="O19:O20"/>
    <mergeCell ref="V19:V20"/>
    <mergeCell ref="W19:W20"/>
    <mergeCell ref="X19:X20"/>
    <mergeCell ref="Y19:Y20"/>
    <mergeCell ref="Z19:Z20"/>
    <mergeCell ref="T19:T20"/>
    <mergeCell ref="U19:U20"/>
    <mergeCell ref="P23:P25"/>
    <mergeCell ref="Q23:Q25"/>
    <mergeCell ref="R23:R25"/>
    <mergeCell ref="S23:S25"/>
    <mergeCell ref="T23:T25"/>
    <mergeCell ref="U23:U25"/>
    <mergeCell ref="Y21:Y22"/>
    <mergeCell ref="Z21:Z22"/>
    <mergeCell ref="T21:T22"/>
    <mergeCell ref="U21:U22"/>
    <mergeCell ref="V21:V22"/>
    <mergeCell ref="W21:W22"/>
    <mergeCell ref="X21:X22"/>
    <mergeCell ref="V23:V25"/>
    <mergeCell ref="W23:W25"/>
    <mergeCell ref="X23:X25"/>
    <mergeCell ref="Y23:Y25"/>
    <mergeCell ref="H23:H25"/>
    <mergeCell ref="I23:I25"/>
    <mergeCell ref="J23:J25"/>
    <mergeCell ref="K23:K25"/>
    <mergeCell ref="L23:L25"/>
    <mergeCell ref="M23:M25"/>
    <mergeCell ref="N23:N25"/>
    <mergeCell ref="O23:O25"/>
    <mergeCell ref="S21:S22"/>
    <mergeCell ref="M21:M22"/>
    <mergeCell ref="N21:N22"/>
    <mergeCell ref="H21:H22"/>
    <mergeCell ref="I21:I22"/>
    <mergeCell ref="J21:J22"/>
    <mergeCell ref="K21:K22"/>
    <mergeCell ref="L21:L22"/>
    <mergeCell ref="O21:O22"/>
    <mergeCell ref="P21:P22"/>
    <mergeCell ref="Q21:Q22"/>
    <mergeCell ref="R21:R22"/>
    <mergeCell ref="Y16:Y18"/>
    <mergeCell ref="Z16:Z18"/>
    <mergeCell ref="V13:V15"/>
    <mergeCell ref="W13:W15"/>
    <mergeCell ref="X13:X15"/>
    <mergeCell ref="Y13:Y15"/>
    <mergeCell ref="Z13:Z15"/>
    <mergeCell ref="V7:V9"/>
    <mergeCell ref="W7:W9"/>
    <mergeCell ref="X7:X9"/>
    <mergeCell ref="Y7:Y9"/>
    <mergeCell ref="Z7:Z9"/>
    <mergeCell ref="Y10:Y12"/>
    <mergeCell ref="Z10:Z12"/>
    <mergeCell ref="AD23:AD25"/>
    <mergeCell ref="Z23:Z25"/>
    <mergeCell ref="AC7:AC9"/>
    <mergeCell ref="AC10:AC12"/>
    <mergeCell ref="AC13:AC15"/>
    <mergeCell ref="AC16:AC18"/>
    <mergeCell ref="AC19:AC20"/>
    <mergeCell ref="AC21:AC22"/>
    <mergeCell ref="AC23:AC25"/>
    <mergeCell ref="AB19:AB20"/>
    <mergeCell ref="AB21:AB22"/>
    <mergeCell ref="AB23:AB25"/>
    <mergeCell ref="AA23:AA25"/>
    <mergeCell ref="AA21:AA22"/>
    <mergeCell ref="AA19:AA20"/>
    <mergeCell ref="AA16:AA18"/>
    <mergeCell ref="AB16:AB18"/>
    <mergeCell ref="AD7:AD9"/>
    <mergeCell ref="AD10:AD12"/>
    <mergeCell ref="AD13:AD15"/>
    <mergeCell ref="AB7:AB9"/>
    <mergeCell ref="AB10:AB12"/>
    <mergeCell ref="AB13:AB15"/>
    <mergeCell ref="AA7:AA9"/>
    <mergeCell ref="G19:G20"/>
    <mergeCell ref="G21:G22"/>
    <mergeCell ref="G23:G25"/>
    <mergeCell ref="G10:G12"/>
    <mergeCell ref="G13:G15"/>
    <mergeCell ref="G16:G18"/>
    <mergeCell ref="G7:G9"/>
    <mergeCell ref="AF7:AF9"/>
    <mergeCell ref="AF10:AF12"/>
    <mergeCell ref="AF13:AF15"/>
    <mergeCell ref="AF16:AF18"/>
    <mergeCell ref="AF19:AF20"/>
    <mergeCell ref="AF21:AF22"/>
    <mergeCell ref="AF23:AF25"/>
    <mergeCell ref="AE7:AE9"/>
    <mergeCell ref="AE10:AE12"/>
    <mergeCell ref="AE13:AE15"/>
    <mergeCell ref="AE16:AE18"/>
    <mergeCell ref="AE19:AE20"/>
    <mergeCell ref="AE21:AE22"/>
    <mergeCell ref="AE23:AE25"/>
    <mergeCell ref="AD16:AD18"/>
    <mergeCell ref="AD19:AD20"/>
    <mergeCell ref="AD21:AD22"/>
  </mergeCells>
  <conditionalFormatting sqref="G4:Z4 G7:Z29">
    <cfRule type="notContainsBlanks" dxfId="7"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1600-000000000000}">
      <formula1>1</formula1>
      <formula2>48</formula2>
    </dataValidation>
  </dataValidations>
  <pageMargins left="0.7" right="0.7" top="0.75" bottom="0.75" header="0.3" footer="0.3"/>
  <pageSetup paperSize="8"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19"/>
  <dimension ref="A1:BX80"/>
  <sheetViews>
    <sheetView zoomScale="120" zoomScaleNormal="120" workbookViewId="0">
      <pane xSplit="5" ySplit="6" topLeftCell="F7" activePane="bottomRight" state="frozen"/>
      <selection pane="topRight" activeCell="F1" sqref="F1"/>
      <selection pane="bottomLeft" activeCell="A7" sqref="A7"/>
      <selection pane="bottomRight" activeCell="F8" sqref="F8"/>
    </sheetView>
  </sheetViews>
  <sheetFormatPr defaultColWidth="9.140625" defaultRowHeight="11.25" x14ac:dyDescent="0.2"/>
  <cols>
    <col min="1" max="1" width="0.5703125" style="573" customWidth="1"/>
    <col min="2" max="2" width="10.140625" style="99" customWidth="1"/>
    <col min="3" max="3" width="19.42578125" style="99" customWidth="1"/>
    <col min="4" max="4" width="33" style="99" customWidth="1"/>
    <col min="5" max="5" width="14.28515625" style="99" bestFit="1" customWidth="1"/>
    <col min="6" max="6" width="9.42578125" style="573" bestFit="1" customWidth="1"/>
    <col min="7" max="7" width="9.42578125" style="573" customWidth="1"/>
    <col min="8" max="8" width="10.140625" style="573" bestFit="1" customWidth="1"/>
    <col min="9" max="9" width="10.140625" style="573" customWidth="1"/>
    <col min="10" max="10" width="10.140625" style="573" bestFit="1" customWidth="1"/>
    <col min="11" max="11" width="10.140625" style="573" customWidth="1"/>
    <col min="12" max="12" width="9.42578125" style="573" bestFit="1" customWidth="1"/>
    <col min="13" max="13" width="9.42578125" style="573" customWidth="1"/>
    <col min="14" max="14" width="10.140625" style="573" bestFit="1" customWidth="1"/>
    <col min="15" max="15" width="10.140625" style="573" customWidth="1"/>
    <col min="16" max="16" width="10.140625" style="573" bestFit="1" customWidth="1"/>
    <col min="17" max="17" width="10.140625" style="573" customWidth="1"/>
    <col min="18" max="18" width="9.42578125" style="573" bestFit="1" customWidth="1"/>
    <col min="19" max="19" width="9.42578125" style="573" customWidth="1"/>
    <col min="20" max="20" width="10.140625" style="573" bestFit="1" customWidth="1"/>
    <col min="21" max="21" width="10.140625" style="573" customWidth="1"/>
    <col min="22" max="22" width="10.140625" style="573" bestFit="1" customWidth="1"/>
    <col min="23" max="23" width="10.140625" style="573" customWidth="1"/>
    <col min="24" max="24" width="9.42578125" style="573" bestFit="1" customWidth="1"/>
    <col min="25" max="25" width="9.42578125" style="573" customWidth="1"/>
    <col min="26" max="26" width="10.140625" style="573" bestFit="1" customWidth="1"/>
    <col min="27" max="27" width="10.140625" style="573" customWidth="1"/>
    <col min="28" max="28" width="10.140625" style="573" bestFit="1" customWidth="1"/>
    <col min="29" max="29" width="10.140625" style="573" customWidth="1"/>
    <col min="30" max="30" width="10.140625" style="573" bestFit="1" customWidth="1"/>
    <col min="31" max="31" width="10.140625" style="573" customWidth="1"/>
    <col min="32" max="32" width="10.140625" style="573" bestFit="1" customWidth="1"/>
    <col min="33" max="33" width="10.140625" style="573" customWidth="1"/>
    <col min="34" max="34" width="9.42578125" style="573" bestFit="1" customWidth="1"/>
    <col min="35" max="35" width="9.42578125" style="573" customWidth="1"/>
    <col min="36" max="36" width="10.140625" style="573" bestFit="1" customWidth="1"/>
    <col min="37" max="37" width="10.140625" style="573" customWidth="1"/>
    <col min="38" max="38" width="10.140625" style="573" bestFit="1" customWidth="1"/>
    <col min="39" max="39" width="10.140625" style="573" customWidth="1"/>
    <col min="40" max="40" width="9.42578125" style="573" bestFit="1" customWidth="1"/>
    <col min="41" max="41" width="9.42578125" style="573" customWidth="1"/>
    <col min="42" max="42" width="10.140625" style="573" bestFit="1" customWidth="1"/>
    <col min="43" max="43" width="10.140625" style="573" customWidth="1"/>
    <col min="44" max="44" width="10.140625" style="573" bestFit="1" customWidth="1"/>
    <col min="45" max="45" width="10.140625" style="573" customWidth="1"/>
    <col min="46" max="46" width="12.42578125" style="99" bestFit="1" customWidth="1"/>
    <col min="47" max="47" width="5.140625" style="99" bestFit="1" customWidth="1"/>
    <col min="48" max="48" width="7.5703125" style="99" bestFit="1" customWidth="1"/>
    <col min="49" max="49" width="12.28515625" style="99" bestFit="1" customWidth="1"/>
    <col min="50" max="50" width="7.5703125" style="99" bestFit="1" customWidth="1"/>
    <col min="51" max="51" width="12.28515625" style="99" bestFit="1" customWidth="1"/>
    <col min="52" max="16384" width="9.140625" style="573"/>
  </cols>
  <sheetData>
    <row r="1" spans="1:76" ht="12" thickBot="1" x14ac:dyDescent="0.25"/>
    <row r="2" spans="1:76" s="99" customFormat="1" ht="12.75" thickBot="1" x14ac:dyDescent="0.25">
      <c r="F2" s="1008" t="s">
        <v>308</v>
      </c>
      <c r="G2" s="1009"/>
      <c r="H2" s="1008" t="s">
        <v>309</v>
      </c>
      <c r="I2" s="1009"/>
      <c r="J2" s="1008" t="s">
        <v>310</v>
      </c>
      <c r="K2" s="1009"/>
      <c r="L2" s="1064" t="s">
        <v>311</v>
      </c>
      <c r="M2" s="1065"/>
      <c r="N2" s="1064" t="s">
        <v>312</v>
      </c>
      <c r="O2" s="1065"/>
      <c r="P2" s="1064" t="s">
        <v>313</v>
      </c>
      <c r="Q2" s="1065"/>
      <c r="R2" s="1064" t="s">
        <v>314</v>
      </c>
      <c r="S2" s="1065"/>
      <c r="T2" s="1064" t="s">
        <v>315</v>
      </c>
      <c r="U2" s="1065"/>
      <c r="V2" s="1064" t="s">
        <v>316</v>
      </c>
      <c r="W2" s="1065"/>
      <c r="X2" s="1064" t="s">
        <v>317</v>
      </c>
      <c r="Y2" s="1065"/>
      <c r="Z2" s="1064" t="s">
        <v>318</v>
      </c>
      <c r="AA2" s="1065"/>
      <c r="AB2" s="1064" t="s">
        <v>319</v>
      </c>
      <c r="AC2" s="1065"/>
      <c r="AD2" s="1064" t="s">
        <v>320</v>
      </c>
      <c r="AE2" s="1065"/>
      <c r="AF2" s="1064" t="s">
        <v>321</v>
      </c>
      <c r="AG2" s="1065"/>
      <c r="AH2" s="1064" t="s">
        <v>322</v>
      </c>
      <c r="AI2" s="1065"/>
      <c r="AJ2" s="1064" t="s">
        <v>323</v>
      </c>
      <c r="AK2" s="1065"/>
      <c r="AL2" s="1064" t="s">
        <v>324</v>
      </c>
      <c r="AM2" s="1065"/>
      <c r="AN2" s="1064" t="s">
        <v>325</v>
      </c>
      <c r="AO2" s="1065"/>
      <c r="AP2" s="1064" t="s">
        <v>326</v>
      </c>
      <c r="AQ2" s="1065"/>
      <c r="AR2" s="1064" t="s">
        <v>327</v>
      </c>
      <c r="AS2" s="1065"/>
    </row>
    <row r="3" spans="1:76" s="99" customFormat="1" ht="24.75" thickBot="1" x14ac:dyDescent="0.25">
      <c r="E3" s="124" t="s">
        <v>1170</v>
      </c>
      <c r="F3" s="1010" t="str">
        <f>IF(HLOOKUP(F2,PUL_AB!$I$2:$AB$3,2,FALSE)="","",HLOOKUP(F2,PUL_AB!$I$2:$AB$3,2,FALSE))</f>
        <v>Sede ICE-AGID</v>
      </c>
      <c r="G3" s="1011"/>
      <c r="H3" s="1010" t="str">
        <f>IF(HLOOKUP(H2,PUL_AB!$I$2:$AB$3,2,FALSE)="","",HLOOKUP(H2,PUL_AB!$I$2:$AB$3,2,FALSE))</f>
        <v/>
      </c>
      <c r="I3" s="1011"/>
      <c r="J3" s="1010" t="str">
        <f>IF(HLOOKUP(J2,PUL_AB!$I$2:$AB$3,2,FALSE)="","",HLOOKUP(J2,PUL_AB!$I$2:$AB$3,2,FALSE))</f>
        <v/>
      </c>
      <c r="K3" s="1011"/>
      <c r="L3" s="1010" t="str">
        <f>IF(HLOOKUP(L2,PUL_AB!$I$2:$AB$3,2,FALSE)="","",HLOOKUP(L2,PUL_AB!$I$2:$AB$3,2,FALSE))</f>
        <v/>
      </c>
      <c r="M3" s="1011"/>
      <c r="N3" s="1010" t="str">
        <f>IF(HLOOKUP(N2,PUL_AB!$I$2:$AB$3,2,FALSE)="","",HLOOKUP(N2,PUL_AB!$I$2:$AB$3,2,FALSE))</f>
        <v/>
      </c>
      <c r="O3" s="1011"/>
      <c r="P3" s="1010" t="str">
        <f>IF(HLOOKUP(P2,PUL_AB!$I$2:$AB$3,2,FALSE)="","",HLOOKUP(P2,PUL_AB!$I$2:$AB$3,2,FALSE))</f>
        <v/>
      </c>
      <c r="Q3" s="1011"/>
      <c r="R3" s="1010" t="str">
        <f>IF(HLOOKUP(R2,PUL_AB!$I$2:$AB$3,2,FALSE)="","",HLOOKUP(R2,PUL_AB!$I$2:$AB$3,2,FALSE))</f>
        <v/>
      </c>
      <c r="S3" s="1011"/>
      <c r="T3" s="1010" t="str">
        <f>IF(HLOOKUP(T2,PUL_AB!$I$2:$AB$3,2,FALSE)="","",HLOOKUP(T2,PUL_AB!$I$2:$AB$3,2,FALSE))</f>
        <v/>
      </c>
      <c r="U3" s="1011"/>
      <c r="V3" s="1010" t="str">
        <f>IF(HLOOKUP(V2,PUL_AB!$I$2:$AB$3,2,FALSE)="","",HLOOKUP(V2,PUL_AB!$I$2:$AB$3,2,FALSE))</f>
        <v/>
      </c>
      <c r="W3" s="1011"/>
      <c r="X3" s="1010" t="str">
        <f>IF(HLOOKUP(X2,PUL_AB!$I$2:$AB$3,2,FALSE)="","",HLOOKUP(X2,PUL_AB!$I$2:$AB$3,2,FALSE))</f>
        <v/>
      </c>
      <c r="Y3" s="1011"/>
      <c r="Z3" s="1010" t="str">
        <f>IF(HLOOKUP(Z2,PUL_AB!$I$2:$AB$3,2,FALSE)="","",HLOOKUP(Z2,PUL_AB!$I$2:$AB$3,2,FALSE))</f>
        <v/>
      </c>
      <c r="AA3" s="1011"/>
      <c r="AB3" s="1010" t="str">
        <f>IF(HLOOKUP(AB2,PUL_AB!$I$2:$AB$3,2,FALSE)="","",HLOOKUP(AB2,PUL_AB!$I$2:$AB$3,2,FALSE))</f>
        <v/>
      </c>
      <c r="AC3" s="1011"/>
      <c r="AD3" s="1010" t="str">
        <f>IF(HLOOKUP(AD2,PUL_AB!$I$2:$AB$3,2,FALSE)="","",HLOOKUP(AD2,PUL_AB!$I$2:$AB$3,2,FALSE))</f>
        <v/>
      </c>
      <c r="AE3" s="1011"/>
      <c r="AF3" s="1010" t="str">
        <f>IF(HLOOKUP(AF2,PUL_AB!$I$2:$AB$3,2,FALSE)="","",HLOOKUP(AF2,PUL_AB!$I$2:$AB$3,2,FALSE))</f>
        <v/>
      </c>
      <c r="AG3" s="1011"/>
      <c r="AH3" s="1010" t="str">
        <f>IF(HLOOKUP(AH2,PUL_AB!$I$2:$AB$3,2,FALSE)="","",HLOOKUP(AH2,PUL_AB!$I$2:$AB$3,2,FALSE))</f>
        <v/>
      </c>
      <c r="AI3" s="1011"/>
      <c r="AJ3" s="1010" t="str">
        <f>IF(HLOOKUP(AJ2,PUL_AB!$I$2:$AB$3,2,FALSE)="","",HLOOKUP(AJ2,PUL_AB!$I$2:$AB$3,2,FALSE))</f>
        <v/>
      </c>
      <c r="AK3" s="1011"/>
      <c r="AL3" s="1010" t="str">
        <f>IF(HLOOKUP(AL2,PUL_AB!$I$2:$AB$3,2,FALSE)="","",HLOOKUP(AL2,PUL_AB!$I$2:$AB$3,2,FALSE))</f>
        <v/>
      </c>
      <c r="AM3" s="1011"/>
      <c r="AN3" s="1010" t="str">
        <f>IF(HLOOKUP(AN2,PUL_AB!$I$2:$AB$3,2,FALSE)="","",HLOOKUP(AN2,PUL_AB!$I$2:$AB$3,2,FALSE))</f>
        <v/>
      </c>
      <c r="AO3" s="1011"/>
      <c r="AP3" s="1010" t="str">
        <f>IF(HLOOKUP(AP2,PUL_AB!$I$2:$AB$3,2,FALSE)="","",HLOOKUP(AP2,PUL_AB!$I$2:$AB$3,2,FALSE))</f>
        <v/>
      </c>
      <c r="AQ3" s="1011"/>
      <c r="AR3" s="1010" t="str">
        <f>IF(HLOOKUP(AR2,PUL_AB!$I$2:$AB$3,2,FALSE)="","",HLOOKUP(AR2,PUL_AB!$I$2:$AB$3,2,FALSE))</f>
        <v/>
      </c>
      <c r="AS3" s="1011"/>
    </row>
    <row r="4" spans="1:76" ht="15" customHeight="1" thickBot="1" x14ac:dyDescent="0.25">
      <c r="B4" s="105" t="s">
        <v>1018</v>
      </c>
      <c r="E4" s="125" t="s">
        <v>328</v>
      </c>
      <c r="F4" s="1004"/>
      <c r="G4" s="1005"/>
      <c r="H4" s="1004"/>
      <c r="I4" s="1005"/>
      <c r="J4" s="1004"/>
      <c r="K4" s="1005"/>
      <c r="L4" s="1004"/>
      <c r="M4" s="1005"/>
      <c r="N4" s="1004"/>
      <c r="O4" s="1005"/>
      <c r="P4" s="1004"/>
      <c r="Q4" s="1005"/>
      <c r="R4" s="1004"/>
      <c r="S4" s="1005"/>
      <c r="T4" s="1004"/>
      <c r="U4" s="1005"/>
      <c r="V4" s="1004"/>
      <c r="W4" s="1005"/>
      <c r="X4" s="1004"/>
      <c r="Y4" s="1005"/>
      <c r="Z4" s="1004"/>
      <c r="AA4" s="1005"/>
      <c r="AB4" s="1004"/>
      <c r="AC4" s="1005"/>
      <c r="AD4" s="1004"/>
      <c r="AE4" s="1005"/>
      <c r="AF4" s="1004"/>
      <c r="AG4" s="1005"/>
      <c r="AH4" s="1004"/>
      <c r="AI4" s="1005"/>
      <c r="AJ4" s="1004"/>
      <c r="AK4" s="1005"/>
      <c r="AL4" s="1004"/>
      <c r="AM4" s="1005"/>
      <c r="AN4" s="1004"/>
      <c r="AO4" s="1005"/>
      <c r="AP4" s="1004"/>
      <c r="AQ4" s="1005"/>
      <c r="AR4" s="1004"/>
      <c r="AS4" s="1005"/>
    </row>
    <row r="5" spans="1:76" ht="3" customHeight="1" thickBot="1" x14ac:dyDescent="0.25">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row>
    <row r="6" spans="1:76" s="99" customFormat="1" ht="57" thickBot="1" x14ac:dyDescent="0.25">
      <c r="A6" s="101"/>
      <c r="B6" s="317" t="s">
        <v>771</v>
      </c>
      <c r="C6" s="316" t="s">
        <v>1019</v>
      </c>
      <c r="D6" s="123" t="s">
        <v>989</v>
      </c>
      <c r="E6" s="123" t="s">
        <v>1174</v>
      </c>
      <c r="F6" s="617" t="s">
        <v>969</v>
      </c>
      <c r="G6" s="618" t="s">
        <v>970</v>
      </c>
      <c r="H6" s="617" t="s">
        <v>969</v>
      </c>
      <c r="I6" s="618" t="s">
        <v>970</v>
      </c>
      <c r="J6" s="617" t="s">
        <v>969</v>
      </c>
      <c r="K6" s="618" t="s">
        <v>970</v>
      </c>
      <c r="L6" s="617" t="s">
        <v>969</v>
      </c>
      <c r="M6" s="618" t="s">
        <v>970</v>
      </c>
      <c r="N6" s="617" t="s">
        <v>969</v>
      </c>
      <c r="O6" s="618" t="s">
        <v>970</v>
      </c>
      <c r="P6" s="617" t="s">
        <v>969</v>
      </c>
      <c r="Q6" s="618" t="s">
        <v>970</v>
      </c>
      <c r="R6" s="617" t="s">
        <v>969</v>
      </c>
      <c r="S6" s="618" t="s">
        <v>970</v>
      </c>
      <c r="T6" s="617" t="s">
        <v>969</v>
      </c>
      <c r="U6" s="618" t="s">
        <v>970</v>
      </c>
      <c r="V6" s="617" t="s">
        <v>969</v>
      </c>
      <c r="W6" s="618" t="s">
        <v>970</v>
      </c>
      <c r="X6" s="617" t="s">
        <v>969</v>
      </c>
      <c r="Y6" s="618" t="s">
        <v>970</v>
      </c>
      <c r="Z6" s="617" t="s">
        <v>969</v>
      </c>
      <c r="AA6" s="618" t="s">
        <v>970</v>
      </c>
      <c r="AB6" s="617" t="s">
        <v>969</v>
      </c>
      <c r="AC6" s="618" t="s">
        <v>970</v>
      </c>
      <c r="AD6" s="617" t="s">
        <v>969</v>
      </c>
      <c r="AE6" s="618" t="s">
        <v>970</v>
      </c>
      <c r="AF6" s="617" t="s">
        <v>969</v>
      </c>
      <c r="AG6" s="618" t="s">
        <v>970</v>
      </c>
      <c r="AH6" s="617" t="s">
        <v>969</v>
      </c>
      <c r="AI6" s="618" t="s">
        <v>970</v>
      </c>
      <c r="AJ6" s="617" t="s">
        <v>969</v>
      </c>
      <c r="AK6" s="618" t="s">
        <v>970</v>
      </c>
      <c r="AL6" s="617" t="s">
        <v>969</v>
      </c>
      <c r="AM6" s="618" t="s">
        <v>970</v>
      </c>
      <c r="AN6" s="617" t="s">
        <v>969</v>
      </c>
      <c r="AO6" s="618" t="s">
        <v>970</v>
      </c>
      <c r="AP6" s="617" t="s">
        <v>969</v>
      </c>
      <c r="AQ6" s="618" t="s">
        <v>970</v>
      </c>
      <c r="AR6" s="617" t="s">
        <v>969</v>
      </c>
      <c r="AS6" s="618" t="s">
        <v>970</v>
      </c>
      <c r="AT6" s="127" t="s">
        <v>1197</v>
      </c>
      <c r="AU6" s="128" t="s">
        <v>51</v>
      </c>
      <c r="AV6" s="128" t="s">
        <v>143</v>
      </c>
      <c r="AW6" s="128" t="s">
        <v>1198</v>
      </c>
      <c r="AX6" s="128" t="s">
        <v>160</v>
      </c>
      <c r="AY6" s="128" t="s">
        <v>1199</v>
      </c>
      <c r="AZ6" s="98"/>
      <c r="BA6" s="98"/>
      <c r="BB6" s="98"/>
      <c r="BC6" s="98"/>
      <c r="BD6" s="98"/>
      <c r="BE6" s="98"/>
      <c r="BF6" s="98"/>
      <c r="BG6" s="98"/>
      <c r="BH6" s="98"/>
      <c r="BI6" s="98"/>
      <c r="BJ6" s="98"/>
      <c r="BK6" s="98"/>
      <c r="BL6" s="98"/>
      <c r="BM6" s="98"/>
      <c r="BN6" s="98"/>
      <c r="BO6" s="98"/>
      <c r="BP6" s="98"/>
      <c r="BQ6" s="98"/>
      <c r="BR6" s="98"/>
      <c r="BS6" s="98"/>
      <c r="BT6" s="98"/>
      <c r="BU6" s="98"/>
      <c r="BV6" s="98"/>
      <c r="BW6" s="98"/>
      <c r="BX6" s="96"/>
    </row>
    <row r="7" spans="1:76" ht="23.25" thickBot="1" x14ac:dyDescent="0.25">
      <c r="A7" s="575"/>
      <c r="B7" s="331" t="s">
        <v>1020</v>
      </c>
      <c r="C7" s="332" t="s">
        <v>991</v>
      </c>
      <c r="D7" s="330" t="s">
        <v>995</v>
      </c>
      <c r="E7" s="280" t="s">
        <v>1162</v>
      </c>
      <c r="F7" s="469"/>
      <c r="G7" s="470"/>
      <c r="H7" s="469"/>
      <c r="I7" s="470"/>
      <c r="J7" s="469"/>
      <c r="K7" s="470"/>
      <c r="L7" s="469"/>
      <c r="M7" s="470"/>
      <c r="N7" s="469"/>
      <c r="O7" s="470"/>
      <c r="P7" s="469"/>
      <c r="Q7" s="470"/>
      <c r="R7" s="469"/>
      <c r="S7" s="470"/>
      <c r="T7" s="469"/>
      <c r="U7" s="470"/>
      <c r="V7" s="469"/>
      <c r="W7" s="470"/>
      <c r="X7" s="469"/>
      <c r="Y7" s="470"/>
      <c r="Z7" s="469"/>
      <c r="AA7" s="470"/>
      <c r="AB7" s="469"/>
      <c r="AC7" s="470"/>
      <c r="AD7" s="469"/>
      <c r="AE7" s="470"/>
      <c r="AF7" s="469"/>
      <c r="AG7" s="470"/>
      <c r="AH7" s="469"/>
      <c r="AI7" s="470"/>
      <c r="AJ7" s="469"/>
      <c r="AK7" s="470"/>
      <c r="AL7" s="469"/>
      <c r="AM7" s="470"/>
      <c r="AN7" s="469"/>
      <c r="AO7" s="470"/>
      <c r="AP7" s="469"/>
      <c r="AQ7" s="470"/>
      <c r="AR7" s="469"/>
      <c r="AS7" s="470"/>
      <c r="AT7" s="130">
        <v>3.7999999999999999E-2</v>
      </c>
      <c r="AU7" s="613" t="s">
        <v>22</v>
      </c>
      <c r="AV7" s="131">
        <f>'Ribassi PE'!$K$30</f>
        <v>0.87</v>
      </c>
      <c r="AW7" s="132">
        <f t="shared" ref="AW7:AW12" si="0">ROUND(AT7*(1-AV7),3)</f>
        <v>5.0000000000000001E-3</v>
      </c>
      <c r="AX7" s="133">
        <f>'Ribassi PE'!$M$30</f>
        <v>0.6</v>
      </c>
      <c r="AY7" s="132">
        <f t="shared" ref="AY7:AY12" si="1">ROUND(AT7*(1-AX7),3)</f>
        <v>1.4999999999999999E-2</v>
      </c>
      <c r="AZ7" s="576"/>
      <c r="BA7" s="576"/>
      <c r="BB7" s="576"/>
      <c r="BC7" s="576"/>
      <c r="BD7" s="576"/>
      <c r="BE7" s="576"/>
      <c r="BF7" s="576"/>
      <c r="BG7" s="576"/>
      <c r="BH7" s="576"/>
      <c r="BI7" s="576"/>
      <c r="BJ7" s="576"/>
      <c r="BK7" s="576"/>
      <c r="BL7" s="576"/>
      <c r="BM7" s="576"/>
      <c r="BN7" s="576"/>
      <c r="BO7" s="576"/>
      <c r="BP7" s="576"/>
      <c r="BQ7" s="576"/>
      <c r="BR7" s="576"/>
      <c r="BS7" s="576"/>
      <c r="BT7" s="576"/>
      <c r="BU7" s="576"/>
      <c r="BV7" s="576"/>
      <c r="BW7" s="576"/>
      <c r="BX7" s="577"/>
    </row>
    <row r="8" spans="1:76" ht="23.25" thickBot="1" x14ac:dyDescent="0.25">
      <c r="A8" s="575"/>
      <c r="B8" s="333" t="s">
        <v>1021</v>
      </c>
      <c r="C8" s="334" t="s">
        <v>997</v>
      </c>
      <c r="D8" s="543" t="s">
        <v>1022</v>
      </c>
      <c r="E8" s="282" t="s">
        <v>1162</v>
      </c>
      <c r="F8" s="471"/>
      <c r="G8" s="472"/>
      <c r="H8" s="471"/>
      <c r="I8" s="472"/>
      <c r="J8" s="471"/>
      <c r="K8" s="472"/>
      <c r="L8" s="471"/>
      <c r="M8" s="472"/>
      <c r="N8" s="471"/>
      <c r="O8" s="472"/>
      <c r="P8" s="471"/>
      <c r="Q8" s="472"/>
      <c r="R8" s="471"/>
      <c r="S8" s="472"/>
      <c r="T8" s="471"/>
      <c r="U8" s="472"/>
      <c r="V8" s="471"/>
      <c r="W8" s="472"/>
      <c r="X8" s="471"/>
      <c r="Y8" s="472"/>
      <c r="Z8" s="471"/>
      <c r="AA8" s="472"/>
      <c r="AB8" s="471"/>
      <c r="AC8" s="472"/>
      <c r="AD8" s="471"/>
      <c r="AE8" s="472"/>
      <c r="AF8" s="471"/>
      <c r="AG8" s="472"/>
      <c r="AH8" s="471"/>
      <c r="AI8" s="472"/>
      <c r="AJ8" s="471"/>
      <c r="AK8" s="472"/>
      <c r="AL8" s="471"/>
      <c r="AM8" s="472"/>
      <c r="AN8" s="471"/>
      <c r="AO8" s="472"/>
      <c r="AP8" s="471"/>
      <c r="AQ8" s="472"/>
      <c r="AR8" s="471"/>
      <c r="AS8" s="472"/>
      <c r="AT8" s="164">
        <v>0.03</v>
      </c>
      <c r="AU8" s="614" t="s">
        <v>22</v>
      </c>
      <c r="AV8" s="165">
        <f>'Ribassi PE'!$K$30</f>
        <v>0.87</v>
      </c>
      <c r="AW8" s="166">
        <f t="shared" si="0"/>
        <v>4.0000000000000001E-3</v>
      </c>
      <c r="AX8" s="165">
        <f>'Ribassi PE'!$M$30</f>
        <v>0.6</v>
      </c>
      <c r="AY8" s="166">
        <f t="shared" si="1"/>
        <v>1.2E-2</v>
      </c>
      <c r="AZ8" s="576"/>
      <c r="BA8" s="576"/>
      <c r="BB8" s="576"/>
      <c r="BC8" s="576"/>
      <c r="BD8" s="576"/>
      <c r="BE8" s="576"/>
      <c r="BF8" s="576"/>
      <c r="BG8" s="576"/>
      <c r="BH8" s="576"/>
      <c r="BI8" s="576"/>
      <c r="BJ8" s="576"/>
      <c r="BK8" s="576"/>
      <c r="BL8" s="576"/>
      <c r="BM8" s="576"/>
      <c r="BN8" s="576"/>
      <c r="BO8" s="576"/>
      <c r="BP8" s="576"/>
      <c r="BQ8" s="576"/>
      <c r="BR8" s="576"/>
      <c r="BS8" s="576"/>
      <c r="BT8" s="576"/>
      <c r="BU8" s="576"/>
      <c r="BV8" s="576"/>
      <c r="BW8" s="576"/>
      <c r="BX8" s="577"/>
    </row>
    <row r="9" spans="1:76" ht="34.5" thickBot="1" x14ac:dyDescent="0.25">
      <c r="A9" s="575"/>
      <c r="B9" s="333" t="s">
        <v>1023</v>
      </c>
      <c r="C9" s="1063" t="s">
        <v>1024</v>
      </c>
      <c r="D9" s="543" t="s">
        <v>1025</v>
      </c>
      <c r="E9" s="299" t="s">
        <v>1162</v>
      </c>
      <c r="F9" s="473"/>
      <c r="G9" s="474"/>
      <c r="H9" s="473"/>
      <c r="I9" s="474"/>
      <c r="J9" s="473"/>
      <c r="K9" s="474"/>
      <c r="L9" s="473"/>
      <c r="M9" s="474"/>
      <c r="N9" s="473"/>
      <c r="O9" s="474"/>
      <c r="P9" s="473"/>
      <c r="Q9" s="474"/>
      <c r="R9" s="473"/>
      <c r="S9" s="474"/>
      <c r="T9" s="473"/>
      <c r="U9" s="474"/>
      <c r="V9" s="473"/>
      <c r="W9" s="474"/>
      <c r="X9" s="473"/>
      <c r="Y9" s="474"/>
      <c r="Z9" s="473"/>
      <c r="AA9" s="474"/>
      <c r="AB9" s="473"/>
      <c r="AC9" s="474"/>
      <c r="AD9" s="473"/>
      <c r="AE9" s="474"/>
      <c r="AF9" s="473"/>
      <c r="AG9" s="474"/>
      <c r="AH9" s="473"/>
      <c r="AI9" s="474"/>
      <c r="AJ9" s="473"/>
      <c r="AK9" s="474"/>
      <c r="AL9" s="473"/>
      <c r="AM9" s="474"/>
      <c r="AN9" s="473"/>
      <c r="AO9" s="474"/>
      <c r="AP9" s="473"/>
      <c r="AQ9" s="474"/>
      <c r="AR9" s="473"/>
      <c r="AS9" s="474"/>
      <c r="AT9" s="247">
        <v>4.0000000000000001E-3</v>
      </c>
      <c r="AU9" s="614" t="s">
        <v>22</v>
      </c>
      <c r="AV9" s="135">
        <f>'Ribassi PE'!$K$30</f>
        <v>0.87</v>
      </c>
      <c r="AW9" s="136">
        <f t="shared" si="0"/>
        <v>1E-3</v>
      </c>
      <c r="AX9" s="135">
        <f>'Ribassi PE'!$M$30</f>
        <v>0.6</v>
      </c>
      <c r="AY9" s="136">
        <f t="shared" si="1"/>
        <v>2E-3</v>
      </c>
      <c r="AZ9" s="576"/>
      <c r="BA9" s="576"/>
      <c r="BB9" s="576"/>
      <c r="BC9" s="576"/>
      <c r="BD9" s="576"/>
      <c r="BE9" s="576"/>
      <c r="BF9" s="576"/>
      <c r="BG9" s="576"/>
      <c r="BH9" s="576"/>
      <c r="BI9" s="576"/>
      <c r="BJ9" s="576"/>
      <c r="BK9" s="576"/>
      <c r="BL9" s="576"/>
      <c r="BM9" s="576"/>
      <c r="BN9" s="576"/>
      <c r="BO9" s="576"/>
      <c r="BP9" s="576"/>
      <c r="BQ9" s="576"/>
      <c r="BR9" s="576"/>
      <c r="BS9" s="576"/>
      <c r="BT9" s="576"/>
      <c r="BU9" s="576"/>
      <c r="BV9" s="576"/>
      <c r="BW9" s="576"/>
      <c r="BX9" s="577"/>
    </row>
    <row r="10" spans="1:76" ht="34.5" thickBot="1" x14ac:dyDescent="0.25">
      <c r="A10" s="575"/>
      <c r="B10" s="333" t="s">
        <v>1026</v>
      </c>
      <c r="C10" s="1063"/>
      <c r="D10" s="543" t="s">
        <v>1027</v>
      </c>
      <c r="E10" s="299" t="s">
        <v>1162</v>
      </c>
      <c r="F10" s="471"/>
      <c r="G10" s="472"/>
      <c r="H10" s="471"/>
      <c r="I10" s="472"/>
      <c r="J10" s="471"/>
      <c r="K10" s="472"/>
      <c r="L10" s="471"/>
      <c r="M10" s="472"/>
      <c r="N10" s="471"/>
      <c r="O10" s="472"/>
      <c r="P10" s="471"/>
      <c r="Q10" s="472"/>
      <c r="R10" s="471"/>
      <c r="S10" s="472"/>
      <c r="T10" s="471"/>
      <c r="U10" s="472"/>
      <c r="V10" s="471"/>
      <c r="W10" s="472"/>
      <c r="X10" s="471"/>
      <c r="Y10" s="472"/>
      <c r="Z10" s="471"/>
      <c r="AA10" s="472"/>
      <c r="AB10" s="471"/>
      <c r="AC10" s="472"/>
      <c r="AD10" s="471"/>
      <c r="AE10" s="472"/>
      <c r="AF10" s="471"/>
      <c r="AG10" s="472"/>
      <c r="AH10" s="471"/>
      <c r="AI10" s="472"/>
      <c r="AJ10" s="471"/>
      <c r="AK10" s="472"/>
      <c r="AL10" s="471"/>
      <c r="AM10" s="472"/>
      <c r="AN10" s="471"/>
      <c r="AO10" s="472"/>
      <c r="AP10" s="471"/>
      <c r="AQ10" s="472"/>
      <c r="AR10" s="471"/>
      <c r="AS10" s="472"/>
      <c r="AT10" s="164">
        <v>1.2999999999999999E-2</v>
      </c>
      <c r="AU10" s="614" t="s">
        <v>22</v>
      </c>
      <c r="AV10" s="165">
        <f>'Ribassi PE'!$K$30</f>
        <v>0.87</v>
      </c>
      <c r="AW10" s="166">
        <f t="shared" si="0"/>
        <v>2E-3</v>
      </c>
      <c r="AX10" s="165">
        <f>'Ribassi PE'!$M$30</f>
        <v>0.6</v>
      </c>
      <c r="AY10" s="166">
        <f t="shared" si="1"/>
        <v>5.0000000000000001E-3</v>
      </c>
      <c r="AZ10" s="576"/>
      <c r="BA10" s="576"/>
      <c r="BB10" s="576"/>
      <c r="BC10" s="576"/>
      <c r="BD10" s="576"/>
      <c r="BE10" s="576"/>
      <c r="BF10" s="576"/>
      <c r="BG10" s="576"/>
      <c r="BH10" s="576"/>
      <c r="BI10" s="576"/>
      <c r="BJ10" s="576"/>
      <c r="BK10" s="576"/>
      <c r="BL10" s="576"/>
      <c r="BM10" s="576"/>
      <c r="BN10" s="576"/>
      <c r="BO10" s="576"/>
      <c r="BP10" s="576"/>
      <c r="BQ10" s="576"/>
      <c r="BR10" s="576"/>
      <c r="BS10" s="576"/>
      <c r="BT10" s="576"/>
      <c r="BU10" s="576"/>
      <c r="BV10" s="576"/>
      <c r="BW10" s="576"/>
      <c r="BX10" s="577"/>
    </row>
    <row r="11" spans="1:76" ht="23.25" thickBot="1" x14ac:dyDescent="0.25">
      <c r="A11" s="575"/>
      <c r="B11" s="333" t="s">
        <v>1028</v>
      </c>
      <c r="C11" s="1063" t="s">
        <v>1002</v>
      </c>
      <c r="D11" s="543" t="s">
        <v>1003</v>
      </c>
      <c r="E11" s="299" t="s">
        <v>1162</v>
      </c>
      <c r="F11" s="473"/>
      <c r="G11" s="474"/>
      <c r="H11" s="473"/>
      <c r="I11" s="474"/>
      <c r="J11" s="473"/>
      <c r="K11" s="474"/>
      <c r="L11" s="473"/>
      <c r="M11" s="474"/>
      <c r="N11" s="473"/>
      <c r="O11" s="474"/>
      <c r="P11" s="473"/>
      <c r="Q11" s="474"/>
      <c r="R11" s="473"/>
      <c r="S11" s="474"/>
      <c r="T11" s="473"/>
      <c r="U11" s="474"/>
      <c r="V11" s="473"/>
      <c r="W11" s="474"/>
      <c r="X11" s="473"/>
      <c r="Y11" s="474"/>
      <c r="Z11" s="473"/>
      <c r="AA11" s="474"/>
      <c r="AB11" s="473"/>
      <c r="AC11" s="474"/>
      <c r="AD11" s="473"/>
      <c r="AE11" s="474"/>
      <c r="AF11" s="473"/>
      <c r="AG11" s="474"/>
      <c r="AH11" s="473"/>
      <c r="AI11" s="474"/>
      <c r="AJ11" s="473"/>
      <c r="AK11" s="474"/>
      <c r="AL11" s="473"/>
      <c r="AM11" s="474"/>
      <c r="AN11" s="473"/>
      <c r="AO11" s="474"/>
      <c r="AP11" s="473"/>
      <c r="AQ11" s="474"/>
      <c r="AR11" s="473"/>
      <c r="AS11" s="474"/>
      <c r="AT11" s="247">
        <v>0.84299999999999997</v>
      </c>
      <c r="AU11" s="614" t="s">
        <v>22</v>
      </c>
      <c r="AV11" s="135">
        <f>'Ribassi PE'!$K$30</f>
        <v>0.87</v>
      </c>
      <c r="AW11" s="136">
        <f t="shared" si="0"/>
        <v>0.11</v>
      </c>
      <c r="AX11" s="135">
        <f>'Ribassi PE'!$M$30</f>
        <v>0.6</v>
      </c>
      <c r="AY11" s="136">
        <f t="shared" si="1"/>
        <v>0.33700000000000002</v>
      </c>
      <c r="AZ11" s="576"/>
      <c r="BA11" s="576"/>
      <c r="BB11" s="576"/>
      <c r="BC11" s="576"/>
      <c r="BD11" s="576"/>
      <c r="BE11" s="576"/>
      <c r="BF11" s="576"/>
      <c r="BG11" s="576"/>
      <c r="BH11" s="576"/>
      <c r="BI11" s="576"/>
      <c r="BJ11" s="576"/>
      <c r="BK11" s="576"/>
      <c r="BL11" s="576"/>
      <c r="BM11" s="576"/>
      <c r="BN11" s="576"/>
      <c r="BO11" s="576"/>
      <c r="BP11" s="576"/>
      <c r="BQ11" s="576"/>
      <c r="BR11" s="576"/>
      <c r="BS11" s="576"/>
      <c r="BT11" s="576"/>
      <c r="BU11" s="576"/>
      <c r="BV11" s="576"/>
      <c r="BW11" s="576"/>
      <c r="BX11" s="577"/>
    </row>
    <row r="12" spans="1:76" ht="23.25" thickBot="1" x14ac:dyDescent="0.25">
      <c r="A12" s="578"/>
      <c r="B12" s="548" t="s">
        <v>1029</v>
      </c>
      <c r="C12" s="1048"/>
      <c r="D12" s="544" t="s">
        <v>1005</v>
      </c>
      <c r="E12" s="301" t="s">
        <v>1162</v>
      </c>
      <c r="F12" s="471"/>
      <c r="G12" s="472"/>
      <c r="H12" s="471"/>
      <c r="I12" s="472"/>
      <c r="J12" s="471"/>
      <c r="K12" s="472"/>
      <c r="L12" s="471"/>
      <c r="M12" s="472"/>
      <c r="N12" s="471"/>
      <c r="O12" s="472"/>
      <c r="P12" s="471"/>
      <c r="Q12" s="472"/>
      <c r="R12" s="471"/>
      <c r="S12" s="472"/>
      <c r="T12" s="471"/>
      <c r="U12" s="472"/>
      <c r="V12" s="471"/>
      <c r="W12" s="472"/>
      <c r="X12" s="471"/>
      <c r="Y12" s="472"/>
      <c r="Z12" s="471"/>
      <c r="AA12" s="472"/>
      <c r="AB12" s="471"/>
      <c r="AC12" s="472"/>
      <c r="AD12" s="471"/>
      <c r="AE12" s="472"/>
      <c r="AF12" s="471"/>
      <c r="AG12" s="472"/>
      <c r="AH12" s="471"/>
      <c r="AI12" s="472"/>
      <c r="AJ12" s="471"/>
      <c r="AK12" s="472"/>
      <c r="AL12" s="471"/>
      <c r="AM12" s="472"/>
      <c r="AN12" s="471"/>
      <c r="AO12" s="472"/>
      <c r="AP12" s="471"/>
      <c r="AQ12" s="472"/>
      <c r="AR12" s="471"/>
      <c r="AS12" s="472"/>
      <c r="AT12" s="295">
        <v>0.34499999999999997</v>
      </c>
      <c r="AU12" s="615" t="s">
        <v>22</v>
      </c>
      <c r="AV12" s="296">
        <f>'Ribassi PE'!$K$30</f>
        <v>0.87</v>
      </c>
      <c r="AW12" s="297">
        <f t="shared" si="0"/>
        <v>4.4999999999999998E-2</v>
      </c>
      <c r="AX12" s="296">
        <f>'Ribassi PE'!$M$30</f>
        <v>0.6</v>
      </c>
      <c r="AY12" s="297">
        <f t="shared" si="1"/>
        <v>0.13800000000000001</v>
      </c>
      <c r="AZ12" s="576"/>
      <c r="BA12" s="576"/>
      <c r="BB12" s="576"/>
      <c r="BC12" s="576"/>
      <c r="BD12" s="576"/>
      <c r="BE12" s="576"/>
      <c r="BF12" s="576"/>
      <c r="BG12" s="576"/>
      <c r="BH12" s="576"/>
      <c r="BI12" s="576"/>
      <c r="BJ12" s="576"/>
      <c r="BK12" s="576"/>
      <c r="BL12" s="576"/>
      <c r="BM12" s="576"/>
      <c r="BN12" s="576"/>
      <c r="BO12" s="576"/>
      <c r="BP12" s="576"/>
      <c r="BQ12" s="576"/>
      <c r="BR12" s="576"/>
      <c r="BS12" s="576"/>
      <c r="BT12" s="576"/>
      <c r="BU12" s="576"/>
      <c r="BV12" s="576"/>
      <c r="BW12" s="576"/>
      <c r="BX12" s="577"/>
    </row>
    <row r="13" spans="1:76" s="99" customFormat="1" ht="15" customHeight="1" thickBot="1" x14ac:dyDescent="0.25">
      <c r="A13" s="98"/>
      <c r="B13" s="98"/>
      <c r="C13" s="98"/>
      <c r="D13" s="98"/>
      <c r="E13" s="125" t="s">
        <v>329</v>
      </c>
      <c r="F13" s="1006">
        <f>SUMPRODUCT(F7:F12,G7:G12,$AT$7:$AT$12)*F4/12</f>
        <v>0</v>
      </c>
      <c r="G13" s="1007"/>
      <c r="H13" s="1006">
        <f>SUMPRODUCT(H7:H12,I7:I12,$AT$7:$AT$12)*H4/12</f>
        <v>0</v>
      </c>
      <c r="I13" s="1007"/>
      <c r="J13" s="1006">
        <f>SUMPRODUCT(J7:J12,K7:K12,$AT$7:$AT$12)*J4/12</f>
        <v>0</v>
      </c>
      <c r="K13" s="1007"/>
      <c r="L13" s="1006">
        <f>SUMPRODUCT(L7:L12,M7:M12,$AT$7:$AT$12)*L4/12</f>
        <v>0</v>
      </c>
      <c r="M13" s="1007"/>
      <c r="N13" s="1006">
        <f>SUMPRODUCT(N7:N12,O7:O12,$AT$7:$AT$12)*N4/12</f>
        <v>0</v>
      </c>
      <c r="O13" s="1007"/>
      <c r="P13" s="1006">
        <f>SUMPRODUCT(P7:P12,Q7:Q12,$AT$7:$AT$12)*P4/12</f>
        <v>0</v>
      </c>
      <c r="Q13" s="1007"/>
      <c r="R13" s="1006">
        <f>SUMPRODUCT(R7:R12,S7:S12,$AT$7:$AT$12)*R4/12</f>
        <v>0</v>
      </c>
      <c r="S13" s="1007"/>
      <c r="T13" s="1006">
        <f>SUMPRODUCT(T7:T12,U7:U12,$AT$7:$AT$12)*T4/12</f>
        <v>0</v>
      </c>
      <c r="U13" s="1007"/>
      <c r="V13" s="1006">
        <f>SUMPRODUCT(V7:V12,W7:W12,$AT$7:$AT$12)*V4/12</f>
        <v>0</v>
      </c>
      <c r="W13" s="1007"/>
      <c r="X13" s="1006">
        <f>SUMPRODUCT(X7:X12,Y7:Y12,$AT$7:$AT$12)*X4/12</f>
        <v>0</v>
      </c>
      <c r="Y13" s="1007"/>
      <c r="Z13" s="1006">
        <f>SUMPRODUCT(Z7:Z12,AA7:AA12,$AT$7:$AT$12)*Z4/12</f>
        <v>0</v>
      </c>
      <c r="AA13" s="1007"/>
      <c r="AB13" s="1006">
        <f>SUMPRODUCT(AB7:AB12,AC7:AC12,$AT$7:$AT$12)*AB4/12</f>
        <v>0</v>
      </c>
      <c r="AC13" s="1007"/>
      <c r="AD13" s="1006">
        <f>SUMPRODUCT(AD7:AD12,AE7:AE12,$AT$7:$AT$12)*AD4/12</f>
        <v>0</v>
      </c>
      <c r="AE13" s="1007"/>
      <c r="AF13" s="1006">
        <f>SUMPRODUCT(AF7:AF12,AG7:AG12,$AT$7:$AT$12)*AF4/12</f>
        <v>0</v>
      </c>
      <c r="AG13" s="1007"/>
      <c r="AH13" s="1006">
        <f>SUMPRODUCT(AH7:AH12,AI7:AI12,$AT$7:$AT$12)*AH4/12</f>
        <v>0</v>
      </c>
      <c r="AI13" s="1007"/>
      <c r="AJ13" s="1006">
        <f>SUMPRODUCT(AJ7:AJ12,AK7:AK12,$AT$7:$AT$12)*AJ4/12</f>
        <v>0</v>
      </c>
      <c r="AK13" s="1007"/>
      <c r="AL13" s="1006">
        <f>SUMPRODUCT(AL7:AL12,AM7:AM12,$AT$7:$AT$12)*AL4/12</f>
        <v>0</v>
      </c>
      <c r="AM13" s="1007"/>
      <c r="AN13" s="1006">
        <f>SUMPRODUCT(AN7:AN12,AO7:AO12,$AT$7:$AT$12)*AN4/12</f>
        <v>0</v>
      </c>
      <c r="AO13" s="1007"/>
      <c r="AP13" s="1006">
        <f>SUMPRODUCT(AP7:AP12,AQ7:AQ12,$AT$7:$AT$12)*AP4/12</f>
        <v>0</v>
      </c>
      <c r="AQ13" s="1007"/>
      <c r="AR13" s="1006">
        <f>SUMPRODUCT(AR7:AR12,AS7:AS12,$AT$7:$AT$12)*AR4/12</f>
        <v>0</v>
      </c>
      <c r="AS13" s="1007"/>
      <c r="AT13" s="97"/>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6"/>
    </row>
    <row r="14" spans="1:76" s="99" customFormat="1" ht="15" customHeight="1" thickBot="1" x14ac:dyDescent="0.25">
      <c r="A14" s="98"/>
      <c r="B14" s="98"/>
      <c r="C14" s="98"/>
      <c r="D14" s="98"/>
      <c r="E14" s="581" t="s">
        <v>330</v>
      </c>
      <c r="F14" s="1002">
        <f>SUMPRODUCT(F7:F12,G7:G12,$AW$7:$AW$12)*F4/12</f>
        <v>0</v>
      </c>
      <c r="G14" s="1003"/>
      <c r="H14" s="1002">
        <f>SUMPRODUCT(H7:H12,I7:I12,$AW$7:$AW$12)*H4/12</f>
        <v>0</v>
      </c>
      <c r="I14" s="1003"/>
      <c r="J14" s="1002">
        <f>SUMPRODUCT(J7:J12,K7:K12,$AW$7:$AW$12)*J4/12</f>
        <v>0</v>
      </c>
      <c r="K14" s="1003"/>
      <c r="L14" s="1002">
        <f>SUMPRODUCT(L7:L12,M7:M12,$AW$7:$AW$12)*L4/12</f>
        <v>0</v>
      </c>
      <c r="M14" s="1003"/>
      <c r="N14" s="1002">
        <f>SUMPRODUCT(N7:N12,O7:O12,$AW$7:$AW$12)*N4/12</f>
        <v>0</v>
      </c>
      <c r="O14" s="1003"/>
      <c r="P14" s="1002">
        <f>SUMPRODUCT(P7:P12,Q7:Q12,$AW$7:$AW$12)*P4/12</f>
        <v>0</v>
      </c>
      <c r="Q14" s="1003"/>
      <c r="R14" s="1002">
        <f>SUMPRODUCT(R7:R12,S7:S12,$AW$7:$AW$12)*R4/12</f>
        <v>0</v>
      </c>
      <c r="S14" s="1003"/>
      <c r="T14" s="1002">
        <f>SUMPRODUCT(T7:T12,U7:U12,$AW$7:$AW$12)*T4/12</f>
        <v>0</v>
      </c>
      <c r="U14" s="1003"/>
      <c r="V14" s="1002">
        <f>SUMPRODUCT(V7:V12,W7:W12,$AW$7:$AW$12)*V4/12</f>
        <v>0</v>
      </c>
      <c r="W14" s="1003"/>
      <c r="X14" s="1002">
        <f>SUMPRODUCT(X7:X12,Y7:Y12,$AW$7:$AW$12)*X4/12</f>
        <v>0</v>
      </c>
      <c r="Y14" s="1003"/>
      <c r="Z14" s="1002">
        <f>SUMPRODUCT(Z7:Z12,AA7:AA12,$AW$7:$AW$12)*Z4/12</f>
        <v>0</v>
      </c>
      <c r="AA14" s="1003"/>
      <c r="AB14" s="1002">
        <f>SUMPRODUCT(AB7:AB12,AC7:AC12,$AW$7:$AW$12)*AB4/12</f>
        <v>0</v>
      </c>
      <c r="AC14" s="1003"/>
      <c r="AD14" s="1002">
        <f>SUMPRODUCT(AD7:AD12,AE7:AE12,$AW$7:$AW$12)*AD4/12</f>
        <v>0</v>
      </c>
      <c r="AE14" s="1003"/>
      <c r="AF14" s="1002">
        <f>SUMPRODUCT(AF7:AF12,AG7:AG12,$AW$7:$AW$12)*AF4/12</f>
        <v>0</v>
      </c>
      <c r="AG14" s="1003"/>
      <c r="AH14" s="1002">
        <f>SUMPRODUCT(AH7:AH12,AI7:AI12,$AW$7:$AW$12)*AH4/12</f>
        <v>0</v>
      </c>
      <c r="AI14" s="1003"/>
      <c r="AJ14" s="1002">
        <f>SUMPRODUCT(AJ7:AJ12,AK7:AK12,$AW$7:$AW$12)*AJ4/12</f>
        <v>0</v>
      </c>
      <c r="AK14" s="1003"/>
      <c r="AL14" s="1002">
        <f>SUMPRODUCT(AL7:AL12,AM7:AM12,$AW$7:$AW$12)*AL4/12</f>
        <v>0</v>
      </c>
      <c r="AM14" s="1003"/>
      <c r="AN14" s="1002">
        <f>SUMPRODUCT(AN7:AN12,AO7:AO12,$AW$7:$AW$12)*AN4/12</f>
        <v>0</v>
      </c>
      <c r="AO14" s="1003"/>
      <c r="AP14" s="1002">
        <f>SUMPRODUCT(AP7:AP12,AQ7:AQ12,$AW$7:$AW$12)*AP4/12</f>
        <v>0</v>
      </c>
      <c r="AQ14" s="1003"/>
      <c r="AR14" s="1002">
        <f>SUMPRODUCT(AR7:AR12,AS7:AS12,$AW$7:$AW$12)*AR4/12</f>
        <v>0</v>
      </c>
      <c r="AS14" s="1003"/>
      <c r="AT14" s="97"/>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6"/>
    </row>
    <row r="15" spans="1:76" s="99" customFormat="1" ht="15" customHeight="1" thickBot="1" x14ac:dyDescent="0.25">
      <c r="A15" s="98"/>
      <c r="B15" s="98"/>
      <c r="C15" s="98"/>
      <c r="D15" s="98"/>
      <c r="E15" s="581" t="s">
        <v>331</v>
      </c>
      <c r="F15" s="1002">
        <f>SUMPRODUCT(F7:F12,G7:G12,$AY$7:$AY$12)*F4/12</f>
        <v>0</v>
      </c>
      <c r="G15" s="1003"/>
      <c r="H15" s="1002">
        <f>SUMPRODUCT(H7:H12,I7:I12,$AY$7:$AY$12)*H4/12</f>
        <v>0</v>
      </c>
      <c r="I15" s="1003"/>
      <c r="J15" s="1002">
        <f>SUMPRODUCT(J7:J12,K7:K12,$AY$7:$AY$12)*J4/12</f>
        <v>0</v>
      </c>
      <c r="K15" s="1003"/>
      <c r="L15" s="1002">
        <f>SUMPRODUCT(L7:L12,M7:M12,$AY$7:$AY$12)*L4/12</f>
        <v>0</v>
      </c>
      <c r="M15" s="1003"/>
      <c r="N15" s="1002">
        <f>SUMPRODUCT(N7:N12,O7:O12,$AY$7:$AY$12)*N4/12</f>
        <v>0</v>
      </c>
      <c r="O15" s="1003"/>
      <c r="P15" s="1002">
        <f>SUMPRODUCT(P7:P12,Q7:Q12,$AY$7:$AY$12)*P4/12</f>
        <v>0</v>
      </c>
      <c r="Q15" s="1003"/>
      <c r="R15" s="1002">
        <f>SUMPRODUCT(R7:R12,S7:S12,$AY$7:$AY$12)*R4/12</f>
        <v>0</v>
      </c>
      <c r="S15" s="1003"/>
      <c r="T15" s="1002">
        <f>SUMPRODUCT(T7:T12,U7:U12,$AY$7:$AY$12)*T4/12</f>
        <v>0</v>
      </c>
      <c r="U15" s="1003"/>
      <c r="V15" s="1002">
        <f>SUMPRODUCT(V7:V12,W7:W12,$AY$7:$AY$12)*V4/12</f>
        <v>0</v>
      </c>
      <c r="W15" s="1003"/>
      <c r="X15" s="1002">
        <f>SUMPRODUCT(X7:X12,Y7:Y12,$AY$7:$AY$12)*X4/12</f>
        <v>0</v>
      </c>
      <c r="Y15" s="1003"/>
      <c r="Z15" s="1002">
        <f>SUMPRODUCT(Z7:Z12,AA7:AA12,$AY$7:$AY$12)*Z4/12</f>
        <v>0</v>
      </c>
      <c r="AA15" s="1003"/>
      <c r="AB15" s="1002">
        <f>SUMPRODUCT(AB7:AB12,AC7:AC12,$AY$7:$AY$12)*AB4/12</f>
        <v>0</v>
      </c>
      <c r="AC15" s="1003"/>
      <c r="AD15" s="1002">
        <f>SUMPRODUCT(AD7:AD12,AE7:AE12,$AY$7:$AY$12)*AD4/12</f>
        <v>0</v>
      </c>
      <c r="AE15" s="1003"/>
      <c r="AF15" s="1002">
        <f>SUMPRODUCT(AF7:AF12,AG7:AG12,$AY$7:$AY$12)*AF4/12</f>
        <v>0</v>
      </c>
      <c r="AG15" s="1003"/>
      <c r="AH15" s="1002">
        <f>SUMPRODUCT(AH7:AH12,AI7:AI12,$AY$7:$AY$12)*AH4/12</f>
        <v>0</v>
      </c>
      <c r="AI15" s="1003"/>
      <c r="AJ15" s="1002">
        <f>SUMPRODUCT(AJ7:AJ12,AK7:AK12,$AY$7:$AY$12)*AJ4/12</f>
        <v>0</v>
      </c>
      <c r="AK15" s="1003"/>
      <c r="AL15" s="1002">
        <f>SUMPRODUCT(AL7:AL12,AM7:AM12,$AY$7:$AY$12)*AL4/12</f>
        <v>0</v>
      </c>
      <c r="AM15" s="1003"/>
      <c r="AN15" s="1002">
        <f>SUMPRODUCT(AN7:AN12,AO7:AO12,$AY$7:$AY$12)*AN4/12</f>
        <v>0</v>
      </c>
      <c r="AO15" s="1003"/>
      <c r="AP15" s="1002">
        <f>SUMPRODUCT(AP7:AP12,AQ7:AQ12,$AY$7:$AY$12)*AP4/12</f>
        <v>0</v>
      </c>
      <c r="AQ15" s="1003"/>
      <c r="AR15" s="1002">
        <f>SUMPRODUCT(AR7:AR12,AS7:AS12,$AY$7:$AY$12)*AR4/12</f>
        <v>0</v>
      </c>
      <c r="AS15" s="1003"/>
      <c r="AT15" s="97"/>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6"/>
    </row>
    <row r="16" spans="1:76" x14ac:dyDescent="0.2">
      <c r="A16" s="576"/>
      <c r="B16" s="98"/>
      <c r="C16" s="98"/>
      <c r="D16" s="98"/>
      <c r="E16" s="98"/>
      <c r="F16" s="576"/>
      <c r="G16" s="576"/>
      <c r="H16" s="576"/>
      <c r="I16" s="576"/>
      <c r="J16" s="576"/>
      <c r="K16" s="576"/>
      <c r="L16" s="576"/>
      <c r="M16" s="576"/>
      <c r="N16" s="576"/>
      <c r="O16" s="576"/>
      <c r="P16" s="576"/>
      <c r="Q16" s="576"/>
      <c r="R16" s="576"/>
      <c r="S16" s="576"/>
      <c r="T16" s="576"/>
      <c r="U16" s="576"/>
      <c r="V16" s="576"/>
      <c r="W16" s="576"/>
      <c r="X16" s="576"/>
      <c r="Y16" s="576"/>
      <c r="Z16" s="576"/>
      <c r="AA16" s="576"/>
      <c r="AB16" s="576"/>
      <c r="AC16" s="576"/>
      <c r="AD16" s="576"/>
      <c r="AE16" s="576"/>
      <c r="AF16" s="576"/>
      <c r="AG16" s="576"/>
      <c r="AH16" s="576"/>
      <c r="AI16" s="576"/>
      <c r="AJ16" s="576"/>
      <c r="AK16" s="576"/>
      <c r="AL16" s="576"/>
      <c r="AM16" s="576"/>
      <c r="AN16" s="576"/>
      <c r="AO16" s="576"/>
      <c r="AP16" s="576"/>
      <c r="AQ16" s="576"/>
      <c r="AR16" s="576"/>
      <c r="AS16" s="576"/>
      <c r="AT16" s="98"/>
      <c r="AU16" s="98"/>
      <c r="AV16" s="98"/>
      <c r="AW16" s="98"/>
      <c r="AX16" s="98"/>
      <c r="AY16" s="98"/>
      <c r="AZ16" s="576"/>
      <c r="BA16" s="576"/>
      <c r="BB16" s="576"/>
      <c r="BC16" s="576"/>
      <c r="BD16" s="576"/>
      <c r="BE16" s="576"/>
      <c r="BF16" s="576"/>
      <c r="BG16" s="576"/>
      <c r="BH16" s="576"/>
      <c r="BI16" s="576"/>
      <c r="BJ16" s="576"/>
      <c r="BK16" s="576"/>
      <c r="BL16" s="576"/>
      <c r="BM16" s="576"/>
      <c r="BN16" s="576"/>
      <c r="BO16" s="576"/>
      <c r="BP16" s="576"/>
      <c r="BQ16" s="576"/>
      <c r="BR16" s="576"/>
      <c r="BS16" s="576"/>
      <c r="BT16" s="576"/>
      <c r="BU16" s="576"/>
      <c r="BV16" s="576"/>
      <c r="BW16" s="576"/>
      <c r="BX16" s="577"/>
    </row>
    <row r="17" spans="1:76" x14ac:dyDescent="0.2">
      <c r="A17" s="576"/>
      <c r="B17" s="98"/>
      <c r="C17" s="98"/>
      <c r="D17" s="98"/>
      <c r="E17" s="98"/>
      <c r="F17" s="576"/>
      <c r="G17" s="576"/>
      <c r="H17" s="576"/>
      <c r="I17" s="576"/>
      <c r="J17" s="576"/>
      <c r="K17" s="576"/>
      <c r="L17" s="576"/>
      <c r="M17" s="576"/>
      <c r="N17" s="576"/>
      <c r="O17" s="576"/>
      <c r="P17" s="576"/>
      <c r="Q17" s="576"/>
      <c r="R17" s="576"/>
      <c r="S17" s="576"/>
      <c r="T17" s="576"/>
      <c r="U17" s="576"/>
      <c r="V17" s="576"/>
      <c r="W17" s="576"/>
      <c r="X17" s="576"/>
      <c r="Y17" s="576"/>
      <c r="Z17" s="576"/>
      <c r="AA17" s="576"/>
      <c r="AB17" s="576"/>
      <c r="AC17" s="576"/>
      <c r="AD17" s="576"/>
      <c r="AE17" s="576"/>
      <c r="AF17" s="576"/>
      <c r="AG17" s="576"/>
      <c r="AH17" s="576"/>
      <c r="AI17" s="576"/>
      <c r="AJ17" s="576"/>
      <c r="AK17" s="576"/>
      <c r="AL17" s="576"/>
      <c r="AM17" s="576"/>
      <c r="AN17" s="576"/>
      <c r="AO17" s="576"/>
      <c r="AP17" s="576"/>
      <c r="AQ17" s="576"/>
      <c r="AR17" s="576"/>
      <c r="AS17" s="576"/>
      <c r="AT17" s="98"/>
      <c r="AU17" s="98"/>
      <c r="AV17" s="98"/>
      <c r="AW17" s="98"/>
      <c r="AX17" s="98"/>
      <c r="AY17" s="98"/>
      <c r="AZ17" s="576"/>
      <c r="BA17" s="576"/>
      <c r="BB17" s="576"/>
      <c r="BC17" s="576"/>
      <c r="BD17" s="576"/>
      <c r="BE17" s="576"/>
      <c r="BF17" s="576"/>
      <c r="BG17" s="576"/>
      <c r="BH17" s="576"/>
      <c r="BI17" s="576"/>
      <c r="BJ17" s="576"/>
      <c r="BK17" s="576"/>
      <c r="BL17" s="576"/>
      <c r="BM17" s="576"/>
      <c r="BN17" s="576"/>
      <c r="BO17" s="576"/>
      <c r="BP17" s="576"/>
      <c r="BQ17" s="576"/>
      <c r="BR17" s="576"/>
      <c r="BS17" s="576"/>
      <c r="BT17" s="576"/>
      <c r="BU17" s="576"/>
      <c r="BV17" s="576"/>
      <c r="BW17" s="576"/>
      <c r="BX17" s="577"/>
    </row>
    <row r="18" spans="1:76" x14ac:dyDescent="0.2">
      <c r="A18" s="576"/>
      <c r="B18" s="98"/>
      <c r="C18" s="98"/>
      <c r="D18" s="98"/>
      <c r="E18" s="98"/>
      <c r="F18" s="576"/>
      <c r="G18" s="576"/>
      <c r="H18" s="576"/>
      <c r="I18" s="576"/>
      <c r="J18" s="576"/>
      <c r="K18" s="576"/>
      <c r="L18" s="576"/>
      <c r="M18" s="576"/>
      <c r="N18" s="576"/>
      <c r="O18" s="576"/>
      <c r="P18" s="576"/>
      <c r="Q18" s="576"/>
      <c r="R18" s="576"/>
      <c r="S18" s="576"/>
      <c r="T18" s="576"/>
      <c r="U18" s="576"/>
      <c r="V18" s="576"/>
      <c r="W18" s="576"/>
      <c r="X18" s="576"/>
      <c r="Y18" s="576"/>
      <c r="Z18" s="576"/>
      <c r="AA18" s="576"/>
      <c r="AB18" s="576"/>
      <c r="AC18" s="576"/>
      <c r="AD18" s="576"/>
      <c r="AE18" s="576"/>
      <c r="AF18" s="576"/>
      <c r="AG18" s="576"/>
      <c r="AH18" s="576"/>
      <c r="AI18" s="576"/>
      <c r="AJ18" s="576"/>
      <c r="AK18" s="576"/>
      <c r="AL18" s="576"/>
      <c r="AM18" s="576"/>
      <c r="AN18" s="576"/>
      <c r="AO18" s="576"/>
      <c r="AP18" s="576"/>
      <c r="AQ18" s="576"/>
      <c r="AR18" s="576"/>
      <c r="AS18" s="576"/>
      <c r="AT18" s="98"/>
      <c r="AU18" s="98"/>
      <c r="AV18" s="98"/>
      <c r="AW18" s="98"/>
      <c r="AX18" s="98"/>
      <c r="AY18" s="98"/>
      <c r="AZ18" s="576"/>
      <c r="BA18" s="576"/>
      <c r="BB18" s="576"/>
      <c r="BC18" s="576"/>
      <c r="BD18" s="576"/>
      <c r="BE18" s="576"/>
      <c r="BF18" s="576"/>
      <c r="BG18" s="576"/>
      <c r="BH18" s="576"/>
      <c r="BI18" s="576"/>
      <c r="BJ18" s="576"/>
      <c r="BK18" s="576"/>
      <c r="BL18" s="576"/>
      <c r="BM18" s="576"/>
      <c r="BN18" s="576"/>
      <c r="BO18" s="576"/>
      <c r="BP18" s="576"/>
      <c r="BQ18" s="576"/>
      <c r="BR18" s="576"/>
      <c r="BS18" s="576"/>
      <c r="BT18" s="576"/>
      <c r="BU18" s="576"/>
      <c r="BV18" s="576"/>
      <c r="BW18" s="576"/>
      <c r="BX18" s="577"/>
    </row>
    <row r="19" spans="1:76" x14ac:dyDescent="0.2">
      <c r="A19" s="576"/>
      <c r="B19" s="98"/>
      <c r="C19" s="98"/>
      <c r="D19" s="98"/>
      <c r="E19" s="98"/>
      <c r="F19" s="576"/>
      <c r="G19" s="576"/>
      <c r="H19" s="576"/>
      <c r="I19" s="576"/>
      <c r="J19" s="576"/>
      <c r="K19" s="576"/>
      <c r="L19" s="576"/>
      <c r="M19" s="576"/>
      <c r="N19" s="576"/>
      <c r="O19" s="576"/>
      <c r="P19" s="576"/>
      <c r="Q19" s="576"/>
      <c r="R19" s="576"/>
      <c r="S19" s="576"/>
      <c r="T19" s="576"/>
      <c r="U19" s="576"/>
      <c r="V19" s="576"/>
      <c r="W19" s="576"/>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98"/>
      <c r="AU19" s="98"/>
      <c r="AV19" s="98"/>
      <c r="AW19" s="98"/>
      <c r="AX19" s="98"/>
      <c r="AY19" s="98"/>
      <c r="AZ19" s="576"/>
      <c r="BA19" s="576"/>
      <c r="BB19" s="576"/>
      <c r="BC19" s="576"/>
      <c r="BD19" s="576"/>
      <c r="BE19" s="576"/>
      <c r="BF19" s="576"/>
      <c r="BG19" s="576"/>
      <c r="BH19" s="576"/>
      <c r="BI19" s="576"/>
      <c r="BJ19" s="576"/>
      <c r="BK19" s="576"/>
      <c r="BL19" s="576"/>
      <c r="BM19" s="576"/>
      <c r="BN19" s="576"/>
      <c r="BO19" s="576"/>
      <c r="BP19" s="576"/>
      <c r="BQ19" s="576"/>
      <c r="BR19" s="576"/>
      <c r="BS19" s="576"/>
      <c r="BT19" s="576"/>
      <c r="BU19" s="576"/>
      <c r="BV19" s="576"/>
      <c r="BW19" s="576"/>
      <c r="BX19" s="577"/>
    </row>
    <row r="20" spans="1:76" x14ac:dyDescent="0.2">
      <c r="A20" s="576"/>
      <c r="B20" s="98"/>
      <c r="C20" s="98"/>
      <c r="D20" s="98"/>
      <c r="E20" s="98"/>
      <c r="F20" s="576"/>
      <c r="G20" s="576"/>
      <c r="H20" s="576"/>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6"/>
      <c r="AL20" s="576"/>
      <c r="AM20" s="576"/>
      <c r="AN20" s="576"/>
      <c r="AO20" s="576"/>
      <c r="AP20" s="576"/>
      <c r="AQ20" s="576"/>
      <c r="AR20" s="576"/>
      <c r="AS20" s="576"/>
      <c r="AT20" s="98"/>
      <c r="AU20" s="98"/>
      <c r="AV20" s="98"/>
      <c r="AW20" s="98"/>
      <c r="AX20" s="98"/>
      <c r="AY20" s="98"/>
      <c r="AZ20" s="576"/>
      <c r="BA20" s="576"/>
      <c r="BB20" s="576"/>
      <c r="BC20" s="576"/>
      <c r="BD20" s="576"/>
      <c r="BE20" s="576"/>
      <c r="BF20" s="576"/>
      <c r="BG20" s="576"/>
      <c r="BH20" s="576"/>
      <c r="BI20" s="576"/>
      <c r="BJ20" s="576"/>
      <c r="BK20" s="576"/>
      <c r="BL20" s="576"/>
      <c r="BM20" s="576"/>
      <c r="BN20" s="576"/>
      <c r="BO20" s="576"/>
      <c r="BP20" s="576"/>
      <c r="BQ20" s="576"/>
      <c r="BR20" s="576"/>
      <c r="BS20" s="576"/>
      <c r="BT20" s="576"/>
      <c r="BU20" s="576"/>
      <c r="BV20" s="576"/>
      <c r="BW20" s="576"/>
      <c r="BX20" s="577"/>
    </row>
    <row r="21" spans="1:76" x14ac:dyDescent="0.2">
      <c r="A21" s="576"/>
      <c r="B21" s="98"/>
      <c r="C21" s="98"/>
      <c r="D21" s="98"/>
      <c r="E21" s="98"/>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98"/>
      <c r="AU21" s="98"/>
      <c r="AV21" s="98"/>
      <c r="AW21" s="98"/>
      <c r="AX21" s="98"/>
      <c r="AY21" s="98"/>
      <c r="AZ21" s="576"/>
      <c r="BA21" s="576"/>
      <c r="BB21" s="576"/>
      <c r="BC21" s="576"/>
      <c r="BD21" s="576"/>
      <c r="BE21" s="576"/>
      <c r="BF21" s="576"/>
      <c r="BG21" s="576"/>
      <c r="BH21" s="576"/>
      <c r="BI21" s="576"/>
      <c r="BJ21" s="576"/>
      <c r="BK21" s="576"/>
      <c r="BL21" s="576"/>
      <c r="BM21" s="576"/>
      <c r="BN21" s="576"/>
      <c r="BO21" s="576"/>
      <c r="BP21" s="576"/>
      <c r="BQ21" s="576"/>
      <c r="BR21" s="576"/>
      <c r="BS21" s="576"/>
      <c r="BT21" s="576"/>
      <c r="BU21" s="576"/>
      <c r="BV21" s="576"/>
      <c r="BW21" s="576"/>
      <c r="BX21" s="577"/>
    </row>
    <row r="22" spans="1:76" x14ac:dyDescent="0.2">
      <c r="A22" s="576"/>
      <c r="B22" s="98"/>
      <c r="C22" s="98"/>
      <c r="D22" s="98"/>
      <c r="E22" s="98"/>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98"/>
      <c r="AU22" s="98"/>
      <c r="AV22" s="98"/>
      <c r="AW22" s="98"/>
      <c r="AX22" s="98"/>
      <c r="AY22" s="98"/>
      <c r="AZ22" s="576"/>
      <c r="BA22" s="576"/>
      <c r="BB22" s="576"/>
      <c r="BC22" s="576"/>
      <c r="BD22" s="576"/>
      <c r="BE22" s="576"/>
      <c r="BF22" s="576"/>
      <c r="BG22" s="576"/>
      <c r="BH22" s="576"/>
      <c r="BI22" s="576"/>
      <c r="BJ22" s="576"/>
      <c r="BK22" s="576"/>
      <c r="BL22" s="576"/>
      <c r="BM22" s="576"/>
      <c r="BN22" s="576"/>
      <c r="BO22" s="576"/>
      <c r="BP22" s="576"/>
      <c r="BQ22" s="576"/>
      <c r="BR22" s="576"/>
      <c r="BS22" s="576"/>
      <c r="BT22" s="576"/>
      <c r="BU22" s="576"/>
      <c r="BV22" s="576"/>
      <c r="BW22" s="576"/>
      <c r="BX22" s="577"/>
    </row>
    <row r="23" spans="1:76" x14ac:dyDescent="0.2">
      <c r="A23" s="576"/>
      <c r="B23" s="98"/>
      <c r="C23" s="98"/>
      <c r="D23" s="98"/>
      <c r="E23" s="98"/>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98"/>
      <c r="AU23" s="98"/>
      <c r="AV23" s="98"/>
      <c r="AW23" s="98"/>
      <c r="AX23" s="98"/>
      <c r="AY23" s="98"/>
      <c r="AZ23" s="576"/>
      <c r="BA23" s="576"/>
      <c r="BB23" s="576"/>
      <c r="BC23" s="576"/>
      <c r="BD23" s="576"/>
      <c r="BE23" s="576"/>
      <c r="BF23" s="576"/>
      <c r="BG23" s="576"/>
      <c r="BH23" s="576"/>
      <c r="BI23" s="576"/>
      <c r="BJ23" s="576"/>
      <c r="BK23" s="576"/>
      <c r="BL23" s="576"/>
      <c r="BM23" s="576"/>
      <c r="BN23" s="576"/>
      <c r="BO23" s="576"/>
      <c r="BP23" s="576"/>
      <c r="BQ23" s="576"/>
      <c r="BR23" s="576"/>
      <c r="BS23" s="576"/>
      <c r="BT23" s="576"/>
      <c r="BU23" s="576"/>
      <c r="BV23" s="576"/>
      <c r="BW23" s="576"/>
      <c r="BX23" s="577"/>
    </row>
    <row r="24" spans="1:76" x14ac:dyDescent="0.2">
      <c r="A24" s="576"/>
      <c r="B24" s="98"/>
      <c r="C24" s="98"/>
      <c r="D24" s="98"/>
      <c r="E24" s="98"/>
      <c r="F24" s="576"/>
      <c r="G24" s="576"/>
      <c r="H24" s="576"/>
      <c r="I24" s="576"/>
      <c r="J24" s="576"/>
      <c r="K24" s="576"/>
      <c r="L24" s="576"/>
      <c r="M24" s="576"/>
      <c r="N24" s="576"/>
      <c r="O24" s="576"/>
      <c r="P24" s="576"/>
      <c r="Q24" s="576"/>
      <c r="R24" s="576"/>
      <c r="S24" s="576"/>
      <c r="T24" s="576"/>
      <c r="U24" s="576"/>
      <c r="V24" s="576"/>
      <c r="W24" s="576"/>
      <c r="X24" s="576"/>
      <c r="Y24" s="576"/>
      <c r="Z24" s="576"/>
      <c r="AA24" s="576"/>
      <c r="AB24" s="576"/>
      <c r="AC24" s="576"/>
      <c r="AD24" s="576"/>
      <c r="AE24" s="576"/>
      <c r="AF24" s="576"/>
      <c r="AG24" s="576"/>
      <c r="AH24" s="576"/>
      <c r="AI24" s="576"/>
      <c r="AJ24" s="576"/>
      <c r="AK24" s="576"/>
      <c r="AL24" s="576"/>
      <c r="AM24" s="576"/>
      <c r="AN24" s="576"/>
      <c r="AO24" s="576"/>
      <c r="AP24" s="576"/>
      <c r="AQ24" s="576"/>
      <c r="AR24" s="576"/>
      <c r="AS24" s="576"/>
      <c r="AT24" s="98"/>
      <c r="AU24" s="98"/>
      <c r="AV24" s="98"/>
      <c r="AW24" s="98"/>
      <c r="AX24" s="98"/>
      <c r="AY24" s="98"/>
      <c r="AZ24" s="576"/>
      <c r="BA24" s="576"/>
      <c r="BB24" s="576"/>
      <c r="BC24" s="576"/>
      <c r="BD24" s="576"/>
      <c r="BE24" s="576"/>
      <c r="BF24" s="576"/>
      <c r="BG24" s="576"/>
      <c r="BH24" s="576"/>
      <c r="BI24" s="576"/>
      <c r="BJ24" s="576"/>
      <c r="BK24" s="576"/>
      <c r="BL24" s="576"/>
      <c r="BM24" s="576"/>
      <c r="BN24" s="576"/>
      <c r="BO24" s="576"/>
      <c r="BP24" s="576"/>
      <c r="BQ24" s="576"/>
      <c r="BR24" s="576"/>
      <c r="BS24" s="576"/>
      <c r="BT24" s="576"/>
      <c r="BU24" s="576"/>
      <c r="BV24" s="576"/>
      <c r="BW24" s="576"/>
      <c r="BX24" s="577"/>
    </row>
    <row r="25" spans="1:76" x14ac:dyDescent="0.2">
      <c r="A25" s="576"/>
      <c r="B25" s="98"/>
      <c r="C25" s="98"/>
      <c r="D25" s="98"/>
      <c r="E25" s="98"/>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98"/>
      <c r="AU25" s="98"/>
      <c r="AV25" s="98"/>
      <c r="AW25" s="98"/>
      <c r="AX25" s="98"/>
      <c r="AY25" s="98"/>
      <c r="AZ25" s="576"/>
      <c r="BA25" s="576"/>
      <c r="BB25" s="576"/>
      <c r="BC25" s="576"/>
      <c r="BD25" s="576"/>
      <c r="BE25" s="576"/>
      <c r="BF25" s="576"/>
      <c r="BG25" s="576"/>
      <c r="BH25" s="576"/>
      <c r="BI25" s="576"/>
      <c r="BJ25" s="576"/>
      <c r="BK25" s="576"/>
      <c r="BL25" s="576"/>
      <c r="BM25" s="576"/>
      <c r="BN25" s="576"/>
      <c r="BO25" s="576"/>
      <c r="BP25" s="576"/>
      <c r="BQ25" s="576"/>
      <c r="BR25" s="576"/>
      <c r="BS25" s="576"/>
      <c r="BT25" s="576"/>
      <c r="BU25" s="576"/>
      <c r="BV25" s="576"/>
      <c r="BW25" s="576"/>
      <c r="BX25" s="577"/>
    </row>
    <row r="26" spans="1:76" x14ac:dyDescent="0.2">
      <c r="A26" s="576"/>
      <c r="B26" s="98"/>
      <c r="C26" s="98"/>
      <c r="D26" s="98"/>
      <c r="E26" s="98"/>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98"/>
      <c r="AU26" s="98"/>
      <c r="AV26" s="98"/>
      <c r="AW26" s="98"/>
      <c r="AX26" s="98"/>
      <c r="AY26" s="98"/>
      <c r="AZ26" s="576"/>
      <c r="BA26" s="576"/>
      <c r="BB26" s="576"/>
      <c r="BC26" s="576"/>
      <c r="BD26" s="576"/>
      <c r="BE26" s="576"/>
      <c r="BF26" s="576"/>
      <c r="BG26" s="576"/>
      <c r="BH26" s="576"/>
      <c r="BI26" s="576"/>
      <c r="BJ26" s="576"/>
      <c r="BK26" s="576"/>
      <c r="BL26" s="576"/>
      <c r="BM26" s="576"/>
      <c r="BN26" s="576"/>
      <c r="BO26" s="576"/>
      <c r="BP26" s="576"/>
      <c r="BQ26" s="576"/>
      <c r="BR26" s="576"/>
      <c r="BS26" s="576"/>
      <c r="BT26" s="576"/>
      <c r="BU26" s="576"/>
      <c r="BV26" s="576"/>
      <c r="BW26" s="576"/>
      <c r="BX26" s="577"/>
    </row>
    <row r="27" spans="1:76" x14ac:dyDescent="0.2">
      <c r="A27" s="576"/>
      <c r="B27" s="98"/>
      <c r="C27" s="98"/>
      <c r="D27" s="98"/>
      <c r="E27" s="98"/>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98"/>
      <c r="AU27" s="98"/>
      <c r="AV27" s="98"/>
      <c r="AW27" s="98"/>
      <c r="AX27" s="98"/>
      <c r="AY27" s="98"/>
      <c r="AZ27" s="576"/>
      <c r="BA27" s="576"/>
      <c r="BB27" s="576"/>
      <c r="BC27" s="576"/>
      <c r="BD27" s="576"/>
      <c r="BE27" s="576"/>
      <c r="BF27" s="576"/>
      <c r="BG27" s="576"/>
      <c r="BH27" s="576"/>
      <c r="BI27" s="576"/>
      <c r="BJ27" s="576"/>
      <c r="BK27" s="576"/>
      <c r="BL27" s="576"/>
      <c r="BM27" s="576"/>
      <c r="BN27" s="576"/>
      <c r="BO27" s="576"/>
      <c r="BP27" s="576"/>
      <c r="BQ27" s="576"/>
      <c r="BR27" s="576"/>
      <c r="BS27" s="576"/>
      <c r="BT27" s="576"/>
      <c r="BU27" s="576"/>
      <c r="BV27" s="576"/>
      <c r="BW27" s="576"/>
      <c r="BX27" s="577"/>
    </row>
    <row r="28" spans="1:76" x14ac:dyDescent="0.2">
      <c r="A28" s="576"/>
      <c r="B28" s="98"/>
      <c r="C28" s="98"/>
      <c r="D28" s="98"/>
      <c r="E28" s="98"/>
      <c r="F28" s="576"/>
      <c r="G28" s="576"/>
      <c r="H28" s="576"/>
      <c r="I28" s="576"/>
      <c r="J28" s="576"/>
      <c r="K28" s="576"/>
      <c r="L28" s="576"/>
      <c r="M28" s="576"/>
      <c r="N28" s="576"/>
      <c r="O28" s="576"/>
      <c r="P28" s="576"/>
      <c r="Q28" s="576"/>
      <c r="R28" s="576"/>
      <c r="S28" s="576"/>
      <c r="T28" s="576"/>
      <c r="U28" s="576"/>
      <c r="V28" s="576"/>
      <c r="W28" s="576"/>
      <c r="X28" s="576"/>
      <c r="Y28" s="576"/>
      <c r="Z28" s="576"/>
      <c r="AA28" s="576"/>
      <c r="AB28" s="576"/>
      <c r="AC28" s="576"/>
      <c r="AD28" s="576"/>
      <c r="AE28" s="576"/>
      <c r="AF28" s="576"/>
      <c r="AG28" s="576"/>
      <c r="AH28" s="576"/>
      <c r="AI28" s="576"/>
      <c r="AJ28" s="576"/>
      <c r="AK28" s="576"/>
      <c r="AL28" s="576"/>
      <c r="AM28" s="576"/>
      <c r="AN28" s="576"/>
      <c r="AO28" s="576"/>
      <c r="AP28" s="576"/>
      <c r="AQ28" s="576"/>
      <c r="AR28" s="576"/>
      <c r="AS28" s="576"/>
      <c r="AT28" s="98"/>
      <c r="AU28" s="98"/>
      <c r="AV28" s="98"/>
      <c r="AW28" s="98"/>
      <c r="AX28" s="98"/>
      <c r="AY28" s="98"/>
      <c r="AZ28" s="576"/>
      <c r="BA28" s="576"/>
      <c r="BB28" s="576"/>
      <c r="BC28" s="576"/>
      <c r="BD28" s="576"/>
      <c r="BE28" s="576"/>
      <c r="BF28" s="576"/>
      <c r="BG28" s="576"/>
      <c r="BH28" s="576"/>
      <c r="BI28" s="576"/>
      <c r="BJ28" s="576"/>
      <c r="BK28" s="576"/>
      <c r="BL28" s="576"/>
      <c r="BM28" s="576"/>
      <c r="BN28" s="576"/>
      <c r="BO28" s="576"/>
      <c r="BP28" s="576"/>
      <c r="BQ28" s="576"/>
      <c r="BR28" s="576"/>
      <c r="BS28" s="576"/>
      <c r="BT28" s="576"/>
      <c r="BU28" s="576"/>
      <c r="BV28" s="576"/>
      <c r="BW28" s="576"/>
      <c r="BX28" s="577"/>
    </row>
    <row r="29" spans="1:76" x14ac:dyDescent="0.2">
      <c r="A29" s="576"/>
      <c r="B29" s="98"/>
      <c r="C29" s="98"/>
      <c r="D29" s="98"/>
      <c r="E29" s="98"/>
      <c r="F29" s="576"/>
      <c r="G29" s="576"/>
      <c r="H29" s="576"/>
      <c r="I29" s="576"/>
      <c r="J29" s="576"/>
      <c r="K29" s="576"/>
      <c r="L29" s="576"/>
      <c r="M29" s="576"/>
      <c r="N29" s="576"/>
      <c r="O29" s="576"/>
      <c r="P29" s="576"/>
      <c r="Q29" s="576"/>
      <c r="R29" s="576"/>
      <c r="S29" s="576"/>
      <c r="T29" s="576"/>
      <c r="U29" s="576"/>
      <c r="V29" s="576"/>
      <c r="W29" s="576"/>
      <c r="X29" s="576"/>
      <c r="Y29" s="576"/>
      <c r="Z29" s="576"/>
      <c r="AA29" s="576"/>
      <c r="AB29" s="576"/>
      <c r="AC29" s="576"/>
      <c r="AD29" s="576"/>
      <c r="AE29" s="576"/>
      <c r="AF29" s="576"/>
      <c r="AG29" s="576"/>
      <c r="AH29" s="576"/>
      <c r="AI29" s="576"/>
      <c r="AJ29" s="576"/>
      <c r="AK29" s="576"/>
      <c r="AL29" s="576"/>
      <c r="AM29" s="576"/>
      <c r="AN29" s="576"/>
      <c r="AO29" s="576"/>
      <c r="AP29" s="576"/>
      <c r="AQ29" s="576"/>
      <c r="AR29" s="576"/>
      <c r="AS29" s="576"/>
      <c r="AT29" s="98"/>
      <c r="AU29" s="98"/>
      <c r="AV29" s="98"/>
      <c r="AW29" s="98"/>
      <c r="AX29" s="98"/>
      <c r="AY29" s="98"/>
      <c r="AZ29" s="576"/>
      <c r="BA29" s="576"/>
      <c r="BB29" s="576"/>
      <c r="BC29" s="576"/>
      <c r="BD29" s="576"/>
      <c r="BE29" s="576"/>
      <c r="BF29" s="576"/>
      <c r="BG29" s="576"/>
      <c r="BH29" s="576"/>
      <c r="BI29" s="576"/>
      <c r="BJ29" s="576"/>
      <c r="BK29" s="576"/>
      <c r="BL29" s="576"/>
      <c r="BM29" s="576"/>
      <c r="BN29" s="576"/>
      <c r="BO29" s="576"/>
      <c r="BP29" s="576"/>
      <c r="BQ29" s="576"/>
      <c r="BR29" s="576"/>
      <c r="BS29" s="576"/>
      <c r="BT29" s="576"/>
      <c r="BU29" s="576"/>
      <c r="BV29" s="576"/>
      <c r="BW29" s="576"/>
      <c r="BX29" s="577"/>
    </row>
    <row r="30" spans="1:76" x14ac:dyDescent="0.2">
      <c r="A30" s="576"/>
      <c r="B30" s="98"/>
      <c r="C30" s="98"/>
      <c r="D30" s="98"/>
      <c r="E30" s="98"/>
      <c r="F30" s="576"/>
      <c r="G30" s="576"/>
      <c r="H30" s="576"/>
      <c r="I30" s="576"/>
      <c r="J30" s="576"/>
      <c r="K30" s="576"/>
      <c r="L30" s="576"/>
      <c r="M30" s="576"/>
      <c r="N30" s="576"/>
      <c r="O30" s="576"/>
      <c r="P30" s="576"/>
      <c r="Q30" s="576"/>
      <c r="R30" s="576"/>
      <c r="S30" s="576"/>
      <c r="T30" s="576"/>
      <c r="U30" s="576"/>
      <c r="V30" s="576"/>
      <c r="W30" s="576"/>
      <c r="X30" s="576"/>
      <c r="Y30" s="576"/>
      <c r="Z30" s="576"/>
      <c r="AA30" s="576"/>
      <c r="AB30" s="576"/>
      <c r="AC30" s="576"/>
      <c r="AD30" s="576"/>
      <c r="AE30" s="576"/>
      <c r="AF30" s="576"/>
      <c r="AG30" s="576"/>
      <c r="AH30" s="576"/>
      <c r="AI30" s="576"/>
      <c r="AJ30" s="576"/>
      <c r="AK30" s="576"/>
      <c r="AL30" s="576"/>
      <c r="AM30" s="576"/>
      <c r="AN30" s="576"/>
      <c r="AO30" s="576"/>
      <c r="AP30" s="576"/>
      <c r="AQ30" s="576"/>
      <c r="AR30" s="576"/>
      <c r="AS30" s="576"/>
      <c r="AT30" s="98"/>
      <c r="AU30" s="98"/>
      <c r="AV30" s="98"/>
      <c r="AW30" s="98"/>
      <c r="AX30" s="98"/>
      <c r="AY30" s="98"/>
      <c r="AZ30" s="576"/>
      <c r="BA30" s="576"/>
      <c r="BB30" s="576"/>
      <c r="BC30" s="576"/>
      <c r="BD30" s="576"/>
      <c r="BE30" s="576"/>
      <c r="BF30" s="576"/>
      <c r="BG30" s="576"/>
      <c r="BH30" s="576"/>
      <c r="BI30" s="576"/>
      <c r="BJ30" s="576"/>
      <c r="BK30" s="576"/>
      <c r="BL30" s="576"/>
      <c r="BM30" s="576"/>
      <c r="BN30" s="576"/>
      <c r="BO30" s="576"/>
      <c r="BP30" s="576"/>
      <c r="BQ30" s="576"/>
      <c r="BR30" s="576"/>
      <c r="BS30" s="576"/>
      <c r="BT30" s="576"/>
      <c r="BU30" s="576"/>
      <c r="BV30" s="576"/>
      <c r="BW30" s="576"/>
      <c r="BX30" s="577"/>
    </row>
    <row r="31" spans="1:76" x14ac:dyDescent="0.2">
      <c r="A31" s="576"/>
      <c r="B31" s="98"/>
      <c r="C31" s="98"/>
      <c r="D31" s="98"/>
      <c r="E31" s="98"/>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6"/>
      <c r="AN31" s="576"/>
      <c r="AO31" s="576"/>
      <c r="AP31" s="576"/>
      <c r="AQ31" s="576"/>
      <c r="AR31" s="576"/>
      <c r="AS31" s="576"/>
      <c r="AT31" s="98"/>
      <c r="AU31" s="98"/>
      <c r="AV31" s="98"/>
      <c r="AW31" s="98"/>
      <c r="AX31" s="98"/>
      <c r="AY31" s="98"/>
      <c r="AZ31" s="576"/>
      <c r="BA31" s="576"/>
      <c r="BB31" s="576"/>
      <c r="BC31" s="576"/>
      <c r="BD31" s="576"/>
      <c r="BE31" s="576"/>
      <c r="BF31" s="576"/>
      <c r="BG31" s="576"/>
      <c r="BH31" s="576"/>
      <c r="BI31" s="576"/>
      <c r="BJ31" s="576"/>
      <c r="BK31" s="576"/>
      <c r="BL31" s="576"/>
      <c r="BM31" s="576"/>
      <c r="BN31" s="576"/>
      <c r="BO31" s="576"/>
      <c r="BP31" s="576"/>
      <c r="BQ31" s="576"/>
      <c r="BR31" s="576"/>
      <c r="BS31" s="576"/>
      <c r="BT31" s="576"/>
      <c r="BU31" s="576"/>
      <c r="BV31" s="576"/>
      <c r="BW31" s="576"/>
      <c r="BX31" s="577"/>
    </row>
    <row r="32" spans="1:76" x14ac:dyDescent="0.2">
      <c r="A32" s="576"/>
      <c r="B32" s="98"/>
      <c r="C32" s="98"/>
      <c r="D32" s="98"/>
      <c r="E32" s="98"/>
      <c r="F32" s="576"/>
      <c r="G32" s="576"/>
      <c r="H32" s="576"/>
      <c r="I32" s="576"/>
      <c r="J32" s="576"/>
      <c r="K32" s="576"/>
      <c r="L32" s="576"/>
      <c r="M32" s="576"/>
      <c r="N32" s="576"/>
      <c r="O32" s="576"/>
      <c r="P32" s="576"/>
      <c r="Q32" s="576"/>
      <c r="R32" s="576"/>
      <c r="S32" s="576"/>
      <c r="T32" s="576"/>
      <c r="U32" s="576"/>
      <c r="V32" s="576"/>
      <c r="W32" s="576"/>
      <c r="X32" s="576"/>
      <c r="Y32" s="576"/>
      <c r="Z32" s="576"/>
      <c r="AA32" s="576"/>
      <c r="AB32" s="576"/>
      <c r="AC32" s="576"/>
      <c r="AD32" s="576"/>
      <c r="AE32" s="576"/>
      <c r="AF32" s="576"/>
      <c r="AG32" s="576"/>
      <c r="AH32" s="576"/>
      <c r="AI32" s="576"/>
      <c r="AJ32" s="576"/>
      <c r="AK32" s="576"/>
      <c r="AL32" s="576"/>
      <c r="AM32" s="576"/>
      <c r="AN32" s="576"/>
      <c r="AO32" s="576"/>
      <c r="AP32" s="576"/>
      <c r="AQ32" s="576"/>
      <c r="AR32" s="576"/>
      <c r="AS32" s="576"/>
      <c r="AT32" s="98"/>
      <c r="AU32" s="98"/>
      <c r="AV32" s="98"/>
      <c r="AW32" s="98"/>
      <c r="AX32" s="98"/>
      <c r="AY32" s="98"/>
      <c r="AZ32" s="576"/>
      <c r="BA32" s="576"/>
      <c r="BB32" s="576"/>
      <c r="BC32" s="576"/>
      <c r="BD32" s="576"/>
      <c r="BE32" s="576"/>
      <c r="BF32" s="576"/>
      <c r="BG32" s="576"/>
      <c r="BH32" s="576"/>
      <c r="BI32" s="576"/>
      <c r="BJ32" s="576"/>
      <c r="BK32" s="576"/>
      <c r="BL32" s="576"/>
      <c r="BM32" s="576"/>
      <c r="BN32" s="576"/>
      <c r="BO32" s="576"/>
      <c r="BP32" s="576"/>
      <c r="BQ32" s="576"/>
      <c r="BR32" s="576"/>
      <c r="BS32" s="576"/>
      <c r="BT32" s="576"/>
      <c r="BU32" s="576"/>
      <c r="BV32" s="576"/>
      <c r="BW32" s="576"/>
      <c r="BX32" s="577"/>
    </row>
    <row r="33" spans="1:76" x14ac:dyDescent="0.2">
      <c r="A33" s="576"/>
      <c r="B33" s="98"/>
      <c r="C33" s="98"/>
      <c r="D33" s="98"/>
      <c r="E33" s="98"/>
      <c r="F33" s="576"/>
      <c r="G33" s="576"/>
      <c r="H33" s="576"/>
      <c r="I33" s="576"/>
      <c r="J33" s="576"/>
      <c r="K33" s="576"/>
      <c r="L33" s="576"/>
      <c r="M33" s="576"/>
      <c r="N33" s="576"/>
      <c r="O33" s="576"/>
      <c r="P33" s="576"/>
      <c r="Q33" s="576"/>
      <c r="R33" s="576"/>
      <c r="S33" s="576"/>
      <c r="T33" s="576"/>
      <c r="U33" s="576"/>
      <c r="V33" s="576"/>
      <c r="W33" s="576"/>
      <c r="X33" s="576"/>
      <c r="Y33" s="576"/>
      <c r="Z33" s="576"/>
      <c r="AA33" s="576"/>
      <c r="AB33" s="576"/>
      <c r="AC33" s="576"/>
      <c r="AD33" s="576"/>
      <c r="AE33" s="576"/>
      <c r="AF33" s="576"/>
      <c r="AG33" s="576"/>
      <c r="AH33" s="576"/>
      <c r="AI33" s="576"/>
      <c r="AJ33" s="576"/>
      <c r="AK33" s="576"/>
      <c r="AL33" s="576"/>
      <c r="AM33" s="576"/>
      <c r="AN33" s="576"/>
      <c r="AO33" s="576"/>
      <c r="AP33" s="576"/>
      <c r="AQ33" s="576"/>
      <c r="AR33" s="576"/>
      <c r="AS33" s="576"/>
      <c r="AT33" s="98"/>
      <c r="AU33" s="98"/>
      <c r="AV33" s="98"/>
      <c r="AW33" s="98"/>
      <c r="AX33" s="98"/>
      <c r="AY33" s="98"/>
      <c r="AZ33" s="576"/>
      <c r="BA33" s="576"/>
      <c r="BB33" s="576"/>
      <c r="BC33" s="576"/>
      <c r="BD33" s="576"/>
      <c r="BE33" s="576"/>
      <c r="BF33" s="576"/>
      <c r="BG33" s="576"/>
      <c r="BH33" s="576"/>
      <c r="BI33" s="576"/>
      <c r="BJ33" s="576"/>
      <c r="BK33" s="576"/>
      <c r="BL33" s="576"/>
      <c r="BM33" s="576"/>
      <c r="BN33" s="576"/>
      <c r="BO33" s="576"/>
      <c r="BP33" s="576"/>
      <c r="BQ33" s="576"/>
      <c r="BR33" s="576"/>
      <c r="BS33" s="576"/>
      <c r="BT33" s="576"/>
      <c r="BU33" s="576"/>
      <c r="BV33" s="576"/>
      <c r="BW33" s="576"/>
      <c r="BX33" s="577"/>
    </row>
    <row r="34" spans="1:76" x14ac:dyDescent="0.2">
      <c r="A34" s="576"/>
      <c r="B34" s="98"/>
      <c r="C34" s="98"/>
      <c r="D34" s="98"/>
      <c r="E34" s="98"/>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6"/>
      <c r="AK34" s="576"/>
      <c r="AL34" s="576"/>
      <c r="AM34" s="576"/>
      <c r="AN34" s="576"/>
      <c r="AO34" s="576"/>
      <c r="AP34" s="576"/>
      <c r="AQ34" s="576"/>
      <c r="AR34" s="576"/>
      <c r="AS34" s="576"/>
      <c r="AT34" s="98"/>
      <c r="AU34" s="98"/>
      <c r="AV34" s="98"/>
      <c r="AW34" s="98"/>
      <c r="AX34" s="98"/>
      <c r="AY34" s="98"/>
      <c r="AZ34" s="576"/>
      <c r="BA34" s="576"/>
      <c r="BB34" s="576"/>
      <c r="BC34" s="576"/>
      <c r="BD34" s="576"/>
      <c r="BE34" s="576"/>
      <c r="BF34" s="576"/>
      <c r="BG34" s="576"/>
      <c r="BH34" s="576"/>
      <c r="BI34" s="576"/>
      <c r="BJ34" s="576"/>
      <c r="BK34" s="576"/>
      <c r="BL34" s="576"/>
      <c r="BM34" s="576"/>
      <c r="BN34" s="576"/>
      <c r="BO34" s="576"/>
      <c r="BP34" s="576"/>
      <c r="BQ34" s="576"/>
      <c r="BR34" s="576"/>
      <c r="BS34" s="576"/>
      <c r="BT34" s="576"/>
      <c r="BU34" s="576"/>
      <c r="BV34" s="576"/>
      <c r="BW34" s="576"/>
      <c r="BX34" s="577"/>
    </row>
    <row r="35" spans="1:76" x14ac:dyDescent="0.2">
      <c r="A35" s="576"/>
      <c r="B35" s="98"/>
      <c r="C35" s="98"/>
      <c r="D35" s="98"/>
      <c r="E35" s="98"/>
      <c r="F35" s="576"/>
      <c r="G35" s="576"/>
      <c r="H35" s="576"/>
      <c r="I35" s="576"/>
      <c r="J35" s="576"/>
      <c r="K35" s="576"/>
      <c r="L35" s="576"/>
      <c r="M35" s="576"/>
      <c r="N35" s="576"/>
      <c r="O35" s="576"/>
      <c r="P35" s="576"/>
      <c r="Q35" s="576"/>
      <c r="R35" s="576"/>
      <c r="S35" s="576"/>
      <c r="T35" s="576"/>
      <c r="U35" s="576"/>
      <c r="V35" s="576"/>
      <c r="W35" s="576"/>
      <c r="X35" s="576"/>
      <c r="Y35" s="576"/>
      <c r="Z35" s="576"/>
      <c r="AA35" s="576"/>
      <c r="AB35" s="576"/>
      <c r="AC35" s="576"/>
      <c r="AD35" s="576"/>
      <c r="AE35" s="576"/>
      <c r="AF35" s="576"/>
      <c r="AG35" s="576"/>
      <c r="AH35" s="576"/>
      <c r="AI35" s="576"/>
      <c r="AJ35" s="576"/>
      <c r="AK35" s="576"/>
      <c r="AL35" s="576"/>
      <c r="AM35" s="576"/>
      <c r="AN35" s="576"/>
      <c r="AO35" s="576"/>
      <c r="AP35" s="576"/>
      <c r="AQ35" s="576"/>
      <c r="AR35" s="576"/>
      <c r="AS35" s="576"/>
      <c r="AT35" s="98"/>
      <c r="AU35" s="98"/>
      <c r="AV35" s="98"/>
      <c r="AW35" s="98"/>
      <c r="AX35" s="98"/>
      <c r="AY35" s="98"/>
      <c r="AZ35" s="576"/>
      <c r="BA35" s="576"/>
      <c r="BB35" s="576"/>
      <c r="BC35" s="576"/>
      <c r="BD35" s="576"/>
      <c r="BE35" s="576"/>
      <c r="BF35" s="576"/>
      <c r="BG35" s="576"/>
      <c r="BH35" s="576"/>
      <c r="BI35" s="576"/>
      <c r="BJ35" s="576"/>
      <c r="BK35" s="576"/>
      <c r="BL35" s="576"/>
      <c r="BM35" s="576"/>
      <c r="BN35" s="576"/>
      <c r="BO35" s="576"/>
      <c r="BP35" s="576"/>
      <c r="BQ35" s="576"/>
      <c r="BR35" s="576"/>
      <c r="BS35" s="576"/>
      <c r="BT35" s="576"/>
      <c r="BU35" s="576"/>
      <c r="BV35" s="576"/>
      <c r="BW35" s="576"/>
      <c r="BX35" s="577"/>
    </row>
    <row r="36" spans="1:76" x14ac:dyDescent="0.2">
      <c r="A36" s="576"/>
      <c r="B36" s="98"/>
      <c r="C36" s="98"/>
      <c r="D36" s="98"/>
      <c r="E36" s="98"/>
      <c r="F36" s="576"/>
      <c r="G36" s="576"/>
      <c r="H36" s="576"/>
      <c r="I36" s="576"/>
      <c r="J36" s="576"/>
      <c r="K36" s="576"/>
      <c r="L36" s="576"/>
      <c r="M36" s="576"/>
      <c r="N36" s="576"/>
      <c r="O36" s="576"/>
      <c r="P36" s="576"/>
      <c r="Q36" s="576"/>
      <c r="R36" s="576"/>
      <c r="S36" s="576"/>
      <c r="T36" s="576"/>
      <c r="U36" s="576"/>
      <c r="V36" s="576"/>
      <c r="W36" s="576"/>
      <c r="X36" s="576"/>
      <c r="Y36" s="576"/>
      <c r="Z36" s="576"/>
      <c r="AA36" s="576"/>
      <c r="AB36" s="576"/>
      <c r="AC36" s="576"/>
      <c r="AD36" s="576"/>
      <c r="AE36" s="576"/>
      <c r="AF36" s="576"/>
      <c r="AG36" s="576"/>
      <c r="AH36" s="576"/>
      <c r="AI36" s="576"/>
      <c r="AJ36" s="576"/>
      <c r="AK36" s="576"/>
      <c r="AL36" s="576"/>
      <c r="AM36" s="576"/>
      <c r="AN36" s="576"/>
      <c r="AO36" s="576"/>
      <c r="AP36" s="576"/>
      <c r="AQ36" s="576"/>
      <c r="AR36" s="576"/>
      <c r="AS36" s="576"/>
      <c r="AT36" s="98"/>
      <c r="AU36" s="98"/>
      <c r="AV36" s="98"/>
      <c r="AW36" s="98"/>
      <c r="AX36" s="98"/>
      <c r="AY36" s="98"/>
      <c r="AZ36" s="576"/>
      <c r="BA36" s="576"/>
      <c r="BB36" s="576"/>
      <c r="BC36" s="576"/>
      <c r="BD36" s="576"/>
      <c r="BE36" s="576"/>
      <c r="BF36" s="576"/>
      <c r="BG36" s="576"/>
      <c r="BH36" s="576"/>
      <c r="BI36" s="576"/>
      <c r="BJ36" s="576"/>
      <c r="BK36" s="576"/>
      <c r="BL36" s="576"/>
      <c r="BM36" s="576"/>
      <c r="BN36" s="576"/>
      <c r="BO36" s="576"/>
      <c r="BP36" s="576"/>
      <c r="BQ36" s="576"/>
      <c r="BR36" s="576"/>
      <c r="BS36" s="576"/>
      <c r="BT36" s="576"/>
      <c r="BU36" s="576"/>
      <c r="BV36" s="576"/>
      <c r="BW36" s="576"/>
      <c r="BX36" s="577"/>
    </row>
    <row r="37" spans="1:76" x14ac:dyDescent="0.2">
      <c r="A37" s="576"/>
      <c r="B37" s="98"/>
      <c r="C37" s="98"/>
      <c r="D37" s="98"/>
      <c r="E37" s="98"/>
      <c r="F37" s="576"/>
      <c r="G37" s="576"/>
      <c r="H37" s="576"/>
      <c r="I37" s="576"/>
      <c r="J37" s="576"/>
      <c r="K37" s="576"/>
      <c r="L37" s="576"/>
      <c r="M37" s="576"/>
      <c r="N37" s="576"/>
      <c r="O37" s="576"/>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76"/>
      <c r="AT37" s="98"/>
      <c r="AU37" s="98"/>
      <c r="AV37" s="98"/>
      <c r="AW37" s="98"/>
      <c r="AX37" s="98"/>
      <c r="AY37" s="98"/>
      <c r="AZ37" s="576"/>
      <c r="BA37" s="576"/>
      <c r="BB37" s="576"/>
      <c r="BC37" s="576"/>
      <c r="BD37" s="576"/>
      <c r="BE37" s="576"/>
      <c r="BF37" s="576"/>
      <c r="BG37" s="576"/>
      <c r="BH37" s="576"/>
      <c r="BI37" s="576"/>
      <c r="BJ37" s="576"/>
      <c r="BK37" s="576"/>
      <c r="BL37" s="576"/>
      <c r="BM37" s="576"/>
      <c r="BN37" s="576"/>
      <c r="BO37" s="576"/>
      <c r="BP37" s="576"/>
      <c r="BQ37" s="576"/>
      <c r="BR37" s="576"/>
      <c r="BS37" s="576"/>
      <c r="BT37" s="576"/>
      <c r="BU37" s="576"/>
      <c r="BV37" s="576"/>
      <c r="BW37" s="576"/>
      <c r="BX37" s="577"/>
    </row>
    <row r="38" spans="1:76" x14ac:dyDescent="0.2">
      <c r="A38" s="576"/>
      <c r="B38" s="98"/>
      <c r="C38" s="98"/>
      <c r="D38" s="98"/>
      <c r="E38" s="98"/>
      <c r="F38" s="576"/>
      <c r="G38" s="576"/>
      <c r="H38" s="576"/>
      <c r="I38" s="576"/>
      <c r="J38" s="576"/>
      <c r="K38" s="576"/>
      <c r="L38" s="576"/>
      <c r="M38" s="576"/>
      <c r="N38" s="576"/>
      <c r="O38" s="576"/>
      <c r="P38" s="576"/>
      <c r="Q38" s="576"/>
      <c r="R38" s="576"/>
      <c r="S38" s="576"/>
      <c r="T38" s="576"/>
      <c r="U38" s="576"/>
      <c r="V38" s="576"/>
      <c r="W38" s="576"/>
      <c r="X38" s="576"/>
      <c r="Y38" s="576"/>
      <c r="Z38" s="576"/>
      <c r="AA38" s="576"/>
      <c r="AB38" s="576"/>
      <c r="AC38" s="576"/>
      <c r="AD38" s="576"/>
      <c r="AE38" s="576"/>
      <c r="AF38" s="576"/>
      <c r="AG38" s="576"/>
      <c r="AH38" s="576"/>
      <c r="AI38" s="576"/>
      <c r="AJ38" s="576"/>
      <c r="AK38" s="576"/>
      <c r="AL38" s="576"/>
      <c r="AM38" s="576"/>
      <c r="AN38" s="576"/>
      <c r="AO38" s="576"/>
      <c r="AP38" s="576"/>
      <c r="AQ38" s="576"/>
      <c r="AR38" s="576"/>
      <c r="AS38" s="576"/>
      <c r="AT38" s="98"/>
      <c r="AU38" s="98"/>
      <c r="AV38" s="98"/>
      <c r="AW38" s="98"/>
      <c r="AX38" s="98"/>
      <c r="AY38" s="98"/>
      <c r="AZ38" s="576"/>
      <c r="BA38" s="576"/>
      <c r="BB38" s="576"/>
      <c r="BC38" s="576"/>
      <c r="BD38" s="576"/>
      <c r="BE38" s="576"/>
      <c r="BF38" s="576"/>
      <c r="BG38" s="576"/>
      <c r="BH38" s="576"/>
      <c r="BI38" s="576"/>
      <c r="BJ38" s="576"/>
      <c r="BK38" s="576"/>
      <c r="BL38" s="576"/>
      <c r="BM38" s="576"/>
      <c r="BN38" s="576"/>
      <c r="BO38" s="576"/>
      <c r="BP38" s="576"/>
      <c r="BQ38" s="576"/>
      <c r="BR38" s="576"/>
      <c r="BS38" s="576"/>
      <c r="BT38" s="576"/>
      <c r="BU38" s="576"/>
      <c r="BV38" s="576"/>
      <c r="BW38" s="576"/>
      <c r="BX38" s="577"/>
    </row>
    <row r="39" spans="1:76" x14ac:dyDescent="0.2">
      <c r="A39" s="576"/>
      <c r="B39" s="98"/>
      <c r="C39" s="98"/>
      <c r="D39" s="98"/>
      <c r="E39" s="98"/>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98"/>
      <c r="AU39" s="98"/>
      <c r="AV39" s="98"/>
      <c r="AW39" s="98"/>
      <c r="AX39" s="98"/>
      <c r="AY39" s="98"/>
      <c r="AZ39" s="576"/>
      <c r="BA39" s="576"/>
      <c r="BB39" s="576"/>
      <c r="BC39" s="576"/>
      <c r="BD39" s="576"/>
      <c r="BE39" s="576"/>
      <c r="BF39" s="576"/>
      <c r="BG39" s="576"/>
      <c r="BH39" s="576"/>
      <c r="BI39" s="576"/>
      <c r="BJ39" s="576"/>
      <c r="BK39" s="576"/>
      <c r="BL39" s="576"/>
      <c r="BM39" s="576"/>
      <c r="BN39" s="576"/>
      <c r="BO39" s="576"/>
      <c r="BP39" s="576"/>
      <c r="BQ39" s="576"/>
      <c r="BR39" s="576"/>
      <c r="BS39" s="576"/>
      <c r="BT39" s="576"/>
      <c r="BU39" s="576"/>
      <c r="BV39" s="576"/>
      <c r="BW39" s="576"/>
      <c r="BX39" s="577"/>
    </row>
    <row r="40" spans="1:76" x14ac:dyDescent="0.2">
      <c r="A40" s="576"/>
      <c r="B40" s="98"/>
      <c r="C40" s="98"/>
      <c r="D40" s="98"/>
      <c r="E40" s="98"/>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98"/>
      <c r="AU40" s="98"/>
      <c r="AV40" s="98"/>
      <c r="AW40" s="98"/>
      <c r="AX40" s="98"/>
      <c r="AY40" s="98"/>
      <c r="AZ40" s="576"/>
      <c r="BA40" s="576"/>
      <c r="BB40" s="576"/>
      <c r="BC40" s="576"/>
      <c r="BD40" s="576"/>
      <c r="BE40" s="576"/>
      <c r="BF40" s="576"/>
      <c r="BG40" s="576"/>
      <c r="BH40" s="576"/>
      <c r="BI40" s="576"/>
      <c r="BJ40" s="576"/>
      <c r="BK40" s="576"/>
      <c r="BL40" s="576"/>
      <c r="BM40" s="576"/>
      <c r="BN40" s="576"/>
      <c r="BO40" s="576"/>
      <c r="BP40" s="576"/>
      <c r="BQ40" s="576"/>
      <c r="BR40" s="576"/>
      <c r="BS40" s="576"/>
      <c r="BT40" s="576"/>
      <c r="BU40" s="576"/>
      <c r="BV40" s="576"/>
      <c r="BW40" s="576"/>
      <c r="BX40" s="577"/>
    </row>
    <row r="41" spans="1:76" x14ac:dyDescent="0.2">
      <c r="A41" s="576"/>
      <c r="B41" s="98"/>
      <c r="C41" s="98"/>
      <c r="D41" s="98"/>
      <c r="E41" s="98"/>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98"/>
      <c r="AU41" s="98"/>
      <c r="AV41" s="98"/>
      <c r="AW41" s="98"/>
      <c r="AX41" s="98"/>
      <c r="AY41" s="98"/>
      <c r="AZ41" s="576"/>
      <c r="BA41" s="576"/>
      <c r="BB41" s="576"/>
      <c r="BC41" s="576"/>
      <c r="BD41" s="576"/>
      <c r="BE41" s="576"/>
      <c r="BF41" s="576"/>
      <c r="BG41" s="576"/>
      <c r="BH41" s="576"/>
      <c r="BI41" s="576"/>
      <c r="BJ41" s="576"/>
      <c r="BK41" s="576"/>
      <c r="BL41" s="576"/>
      <c r="BM41" s="576"/>
      <c r="BN41" s="576"/>
      <c r="BO41" s="576"/>
      <c r="BP41" s="576"/>
      <c r="BQ41" s="576"/>
      <c r="BR41" s="576"/>
      <c r="BS41" s="576"/>
      <c r="BT41" s="576"/>
      <c r="BU41" s="576"/>
      <c r="BV41" s="576"/>
      <c r="BW41" s="576"/>
      <c r="BX41" s="577"/>
    </row>
    <row r="42" spans="1:76" x14ac:dyDescent="0.2">
      <c r="A42" s="576"/>
      <c r="B42" s="98"/>
      <c r="C42" s="98"/>
      <c r="D42" s="98"/>
      <c r="E42" s="98"/>
      <c r="F42" s="576"/>
      <c r="G42" s="576"/>
      <c r="H42" s="576"/>
      <c r="I42" s="576"/>
      <c r="J42" s="576"/>
      <c r="K42" s="576"/>
      <c r="L42" s="576"/>
      <c r="M42" s="576"/>
      <c r="N42" s="576"/>
      <c r="O42" s="576"/>
      <c r="P42" s="576"/>
      <c r="Q42" s="576"/>
      <c r="R42" s="576"/>
      <c r="S42" s="576"/>
      <c r="T42" s="576"/>
      <c r="U42" s="576"/>
      <c r="V42" s="576"/>
      <c r="W42" s="576"/>
      <c r="X42" s="576"/>
      <c r="Y42" s="576"/>
      <c r="Z42" s="576"/>
      <c r="AA42" s="576"/>
      <c r="AB42" s="576"/>
      <c r="AC42" s="576"/>
      <c r="AD42" s="576"/>
      <c r="AE42" s="576"/>
      <c r="AF42" s="576"/>
      <c r="AG42" s="576"/>
      <c r="AH42" s="576"/>
      <c r="AI42" s="576"/>
      <c r="AJ42" s="576"/>
      <c r="AK42" s="576"/>
      <c r="AL42" s="576"/>
      <c r="AM42" s="576"/>
      <c r="AN42" s="576"/>
      <c r="AO42" s="576"/>
      <c r="AP42" s="576"/>
      <c r="AQ42" s="576"/>
      <c r="AR42" s="576"/>
      <c r="AS42" s="576"/>
      <c r="AT42" s="98"/>
      <c r="AU42" s="98"/>
      <c r="AV42" s="98"/>
      <c r="AW42" s="98"/>
      <c r="AX42" s="98"/>
      <c r="AY42" s="98"/>
      <c r="AZ42" s="576"/>
      <c r="BA42" s="576"/>
      <c r="BB42" s="576"/>
      <c r="BC42" s="576"/>
      <c r="BD42" s="576"/>
      <c r="BE42" s="576"/>
      <c r="BF42" s="576"/>
      <c r="BG42" s="576"/>
      <c r="BH42" s="576"/>
      <c r="BI42" s="576"/>
      <c r="BJ42" s="576"/>
      <c r="BK42" s="576"/>
      <c r="BL42" s="576"/>
      <c r="BM42" s="576"/>
      <c r="BN42" s="576"/>
      <c r="BO42" s="576"/>
      <c r="BP42" s="576"/>
      <c r="BQ42" s="576"/>
      <c r="BR42" s="576"/>
      <c r="BS42" s="576"/>
      <c r="BT42" s="576"/>
      <c r="BU42" s="576"/>
      <c r="BV42" s="576"/>
      <c r="BW42" s="576"/>
      <c r="BX42" s="577"/>
    </row>
    <row r="43" spans="1:76" x14ac:dyDescent="0.2">
      <c r="A43" s="576"/>
      <c r="B43" s="98"/>
      <c r="C43" s="98"/>
      <c r="D43" s="98"/>
      <c r="E43" s="98"/>
      <c r="F43" s="576"/>
      <c r="G43" s="576"/>
      <c r="H43" s="576"/>
      <c r="I43" s="576"/>
      <c r="J43" s="576"/>
      <c r="K43" s="576"/>
      <c r="L43" s="576"/>
      <c r="M43" s="576"/>
      <c r="N43" s="576"/>
      <c r="O43" s="576"/>
      <c r="P43" s="576"/>
      <c r="Q43" s="576"/>
      <c r="R43" s="576"/>
      <c r="S43" s="576"/>
      <c r="T43" s="576"/>
      <c r="U43" s="576"/>
      <c r="V43" s="576"/>
      <c r="W43" s="576"/>
      <c r="X43" s="576"/>
      <c r="Y43" s="576"/>
      <c r="Z43" s="576"/>
      <c r="AA43" s="576"/>
      <c r="AB43" s="576"/>
      <c r="AC43" s="576"/>
      <c r="AD43" s="576"/>
      <c r="AE43" s="576"/>
      <c r="AF43" s="576"/>
      <c r="AG43" s="576"/>
      <c r="AH43" s="576"/>
      <c r="AI43" s="576"/>
      <c r="AJ43" s="576"/>
      <c r="AK43" s="576"/>
      <c r="AL43" s="576"/>
      <c r="AM43" s="576"/>
      <c r="AN43" s="576"/>
      <c r="AO43" s="576"/>
      <c r="AP43" s="576"/>
      <c r="AQ43" s="576"/>
      <c r="AR43" s="576"/>
      <c r="AS43" s="576"/>
      <c r="AT43" s="98"/>
      <c r="AU43" s="98"/>
      <c r="AV43" s="98"/>
      <c r="AW43" s="98"/>
      <c r="AX43" s="98"/>
      <c r="AY43" s="98"/>
      <c r="AZ43" s="576"/>
      <c r="BA43" s="576"/>
      <c r="BB43" s="576"/>
      <c r="BC43" s="576"/>
      <c r="BD43" s="576"/>
      <c r="BE43" s="576"/>
      <c r="BF43" s="576"/>
      <c r="BG43" s="576"/>
      <c r="BH43" s="576"/>
      <c r="BI43" s="576"/>
      <c r="BJ43" s="576"/>
      <c r="BK43" s="576"/>
      <c r="BL43" s="576"/>
      <c r="BM43" s="576"/>
      <c r="BN43" s="576"/>
      <c r="BO43" s="576"/>
      <c r="BP43" s="576"/>
      <c r="BQ43" s="576"/>
      <c r="BR43" s="576"/>
      <c r="BS43" s="576"/>
      <c r="BT43" s="576"/>
      <c r="BU43" s="576"/>
      <c r="BV43" s="576"/>
      <c r="BW43" s="576"/>
      <c r="BX43" s="577"/>
    </row>
    <row r="44" spans="1:76" x14ac:dyDescent="0.2">
      <c r="A44" s="576"/>
      <c r="B44" s="98"/>
      <c r="C44" s="98"/>
      <c r="D44" s="98"/>
      <c r="E44" s="98"/>
      <c r="F44" s="576"/>
      <c r="G44" s="576"/>
      <c r="H44" s="576"/>
      <c r="I44" s="576"/>
      <c r="J44" s="576"/>
      <c r="K44" s="576"/>
      <c r="L44" s="576"/>
      <c r="M44" s="576"/>
      <c r="N44" s="576"/>
      <c r="O44" s="576"/>
      <c r="P44" s="576"/>
      <c r="Q44" s="576"/>
      <c r="R44" s="576"/>
      <c r="S44" s="576"/>
      <c r="T44" s="576"/>
      <c r="U44" s="576"/>
      <c r="V44" s="576"/>
      <c r="W44" s="576"/>
      <c r="X44" s="576"/>
      <c r="Y44" s="576"/>
      <c r="Z44" s="576"/>
      <c r="AA44" s="576"/>
      <c r="AB44" s="576"/>
      <c r="AC44" s="576"/>
      <c r="AD44" s="576"/>
      <c r="AE44" s="576"/>
      <c r="AF44" s="576"/>
      <c r="AG44" s="576"/>
      <c r="AH44" s="576"/>
      <c r="AI44" s="576"/>
      <c r="AJ44" s="576"/>
      <c r="AK44" s="576"/>
      <c r="AL44" s="576"/>
      <c r="AM44" s="576"/>
      <c r="AN44" s="576"/>
      <c r="AO44" s="576"/>
      <c r="AP44" s="576"/>
      <c r="AQ44" s="576"/>
      <c r="AR44" s="576"/>
      <c r="AS44" s="576"/>
      <c r="AT44" s="98"/>
      <c r="AU44" s="98"/>
      <c r="AV44" s="98"/>
      <c r="AW44" s="98"/>
      <c r="AX44" s="98"/>
      <c r="AY44" s="98"/>
      <c r="AZ44" s="576"/>
      <c r="BA44" s="576"/>
      <c r="BB44" s="576"/>
      <c r="BC44" s="576"/>
      <c r="BD44" s="576"/>
      <c r="BE44" s="576"/>
      <c r="BF44" s="576"/>
      <c r="BG44" s="576"/>
      <c r="BH44" s="576"/>
      <c r="BI44" s="576"/>
      <c r="BJ44" s="576"/>
      <c r="BK44" s="576"/>
      <c r="BL44" s="576"/>
      <c r="BM44" s="576"/>
      <c r="BN44" s="576"/>
      <c r="BO44" s="576"/>
      <c r="BP44" s="576"/>
      <c r="BQ44" s="576"/>
      <c r="BR44" s="576"/>
      <c r="BS44" s="576"/>
      <c r="BT44" s="576"/>
      <c r="BU44" s="576"/>
      <c r="BV44" s="576"/>
      <c r="BW44" s="576"/>
      <c r="BX44" s="577"/>
    </row>
    <row r="45" spans="1:76" x14ac:dyDescent="0.2">
      <c r="A45" s="576"/>
      <c r="B45" s="98"/>
      <c r="C45" s="98"/>
      <c r="D45" s="98"/>
      <c r="E45" s="98"/>
      <c r="F45" s="576"/>
      <c r="G45" s="576"/>
      <c r="H45" s="576"/>
      <c r="I45" s="576"/>
      <c r="J45" s="576"/>
      <c r="K45" s="576"/>
      <c r="L45" s="576"/>
      <c r="M45" s="576"/>
      <c r="N45" s="576"/>
      <c r="O45" s="576"/>
      <c r="P45" s="576"/>
      <c r="Q45" s="576"/>
      <c r="R45" s="576"/>
      <c r="S45" s="576"/>
      <c r="T45" s="576"/>
      <c r="U45" s="576"/>
      <c r="V45" s="576"/>
      <c r="W45" s="576"/>
      <c r="X45" s="576"/>
      <c r="Y45" s="576"/>
      <c r="Z45" s="576"/>
      <c r="AA45" s="576"/>
      <c r="AB45" s="576"/>
      <c r="AC45" s="576"/>
      <c r="AD45" s="576"/>
      <c r="AE45" s="576"/>
      <c r="AF45" s="576"/>
      <c r="AG45" s="576"/>
      <c r="AH45" s="576"/>
      <c r="AI45" s="576"/>
      <c r="AJ45" s="576"/>
      <c r="AK45" s="576"/>
      <c r="AL45" s="576"/>
      <c r="AM45" s="576"/>
      <c r="AN45" s="576"/>
      <c r="AO45" s="576"/>
      <c r="AP45" s="576"/>
      <c r="AQ45" s="576"/>
      <c r="AR45" s="576"/>
      <c r="AS45" s="576"/>
      <c r="AT45" s="98"/>
      <c r="AU45" s="98"/>
      <c r="AV45" s="98"/>
      <c r="AW45" s="98"/>
      <c r="AX45" s="98"/>
      <c r="AY45" s="98"/>
      <c r="AZ45" s="576"/>
      <c r="BA45" s="576"/>
      <c r="BB45" s="576"/>
      <c r="BC45" s="576"/>
      <c r="BD45" s="576"/>
      <c r="BE45" s="576"/>
      <c r="BF45" s="576"/>
      <c r="BG45" s="576"/>
      <c r="BH45" s="576"/>
      <c r="BI45" s="576"/>
      <c r="BJ45" s="576"/>
      <c r="BK45" s="576"/>
      <c r="BL45" s="576"/>
      <c r="BM45" s="576"/>
      <c r="BN45" s="576"/>
      <c r="BO45" s="576"/>
      <c r="BP45" s="576"/>
      <c r="BQ45" s="576"/>
      <c r="BR45" s="576"/>
      <c r="BS45" s="576"/>
      <c r="BT45" s="576"/>
      <c r="BU45" s="576"/>
      <c r="BV45" s="576"/>
      <c r="BW45" s="576"/>
      <c r="BX45" s="577"/>
    </row>
    <row r="46" spans="1:76" x14ac:dyDescent="0.2">
      <c r="A46" s="576"/>
      <c r="B46" s="98"/>
      <c r="C46" s="98"/>
      <c r="D46" s="98"/>
      <c r="E46" s="98"/>
      <c r="F46" s="576"/>
      <c r="G46" s="576"/>
      <c r="H46" s="576"/>
      <c r="I46" s="576"/>
      <c r="J46" s="576"/>
      <c r="K46" s="576"/>
      <c r="L46" s="576"/>
      <c r="M46" s="576"/>
      <c r="N46" s="576"/>
      <c r="O46" s="576"/>
      <c r="P46" s="576"/>
      <c r="Q46" s="576"/>
      <c r="R46" s="576"/>
      <c r="S46" s="576"/>
      <c r="T46" s="576"/>
      <c r="U46" s="576"/>
      <c r="V46" s="576"/>
      <c r="W46" s="576"/>
      <c r="X46" s="576"/>
      <c r="Y46" s="576"/>
      <c r="Z46" s="576"/>
      <c r="AA46" s="576"/>
      <c r="AB46" s="576"/>
      <c r="AC46" s="576"/>
      <c r="AD46" s="576"/>
      <c r="AE46" s="576"/>
      <c r="AF46" s="576"/>
      <c r="AG46" s="576"/>
      <c r="AH46" s="576"/>
      <c r="AI46" s="576"/>
      <c r="AJ46" s="576"/>
      <c r="AK46" s="576"/>
      <c r="AL46" s="576"/>
      <c r="AM46" s="576"/>
      <c r="AN46" s="576"/>
      <c r="AO46" s="576"/>
      <c r="AP46" s="576"/>
      <c r="AQ46" s="576"/>
      <c r="AR46" s="576"/>
      <c r="AS46" s="576"/>
      <c r="AT46" s="98"/>
      <c r="AU46" s="98"/>
      <c r="AV46" s="98"/>
      <c r="AW46" s="98"/>
      <c r="AX46" s="98"/>
      <c r="AY46" s="98"/>
      <c r="AZ46" s="576"/>
      <c r="BA46" s="576"/>
      <c r="BB46" s="576"/>
      <c r="BC46" s="576"/>
      <c r="BD46" s="576"/>
      <c r="BE46" s="576"/>
      <c r="BF46" s="576"/>
      <c r="BG46" s="576"/>
      <c r="BH46" s="576"/>
      <c r="BI46" s="576"/>
      <c r="BJ46" s="576"/>
      <c r="BK46" s="576"/>
      <c r="BL46" s="576"/>
      <c r="BM46" s="576"/>
      <c r="BN46" s="576"/>
      <c r="BO46" s="576"/>
      <c r="BP46" s="576"/>
      <c r="BQ46" s="576"/>
      <c r="BR46" s="576"/>
      <c r="BS46" s="576"/>
      <c r="BT46" s="576"/>
      <c r="BU46" s="576"/>
      <c r="BV46" s="576"/>
      <c r="BW46" s="576"/>
      <c r="BX46" s="577"/>
    </row>
    <row r="47" spans="1:76" x14ac:dyDescent="0.2">
      <c r="A47" s="576"/>
      <c r="B47" s="98"/>
      <c r="C47" s="98"/>
      <c r="D47" s="98"/>
      <c r="E47" s="98"/>
      <c r="F47" s="576"/>
      <c r="G47" s="576"/>
      <c r="H47" s="576"/>
      <c r="I47" s="576"/>
      <c r="J47" s="576"/>
      <c r="K47" s="576"/>
      <c r="L47" s="576"/>
      <c r="M47" s="576"/>
      <c r="N47" s="576"/>
      <c r="O47" s="576"/>
      <c r="P47" s="576"/>
      <c r="Q47" s="576"/>
      <c r="R47" s="576"/>
      <c r="S47" s="576"/>
      <c r="T47" s="576"/>
      <c r="U47" s="576"/>
      <c r="V47" s="576"/>
      <c r="W47" s="576"/>
      <c r="X47" s="576"/>
      <c r="Y47" s="576"/>
      <c r="Z47" s="576"/>
      <c r="AA47" s="576"/>
      <c r="AB47" s="576"/>
      <c r="AC47" s="576"/>
      <c r="AD47" s="576"/>
      <c r="AE47" s="576"/>
      <c r="AF47" s="576"/>
      <c r="AG47" s="576"/>
      <c r="AH47" s="576"/>
      <c r="AI47" s="576"/>
      <c r="AJ47" s="576"/>
      <c r="AK47" s="576"/>
      <c r="AL47" s="576"/>
      <c r="AM47" s="576"/>
      <c r="AN47" s="576"/>
      <c r="AO47" s="576"/>
      <c r="AP47" s="576"/>
      <c r="AQ47" s="576"/>
      <c r="AR47" s="576"/>
      <c r="AS47" s="576"/>
      <c r="AT47" s="98"/>
      <c r="AU47" s="98"/>
      <c r="AV47" s="98"/>
      <c r="AW47" s="98"/>
      <c r="AX47" s="98"/>
      <c r="AY47" s="98"/>
      <c r="AZ47" s="576"/>
      <c r="BA47" s="576"/>
      <c r="BB47" s="576"/>
      <c r="BC47" s="576"/>
      <c r="BD47" s="576"/>
      <c r="BE47" s="576"/>
      <c r="BF47" s="576"/>
      <c r="BG47" s="576"/>
      <c r="BH47" s="576"/>
      <c r="BI47" s="576"/>
      <c r="BJ47" s="576"/>
      <c r="BK47" s="576"/>
      <c r="BL47" s="576"/>
      <c r="BM47" s="576"/>
      <c r="BN47" s="576"/>
      <c r="BO47" s="576"/>
      <c r="BP47" s="576"/>
      <c r="BQ47" s="576"/>
      <c r="BR47" s="576"/>
      <c r="BS47" s="576"/>
      <c r="BT47" s="576"/>
      <c r="BU47" s="576"/>
      <c r="BV47" s="576"/>
      <c r="BW47" s="576"/>
      <c r="BX47" s="577"/>
    </row>
    <row r="48" spans="1:76" x14ac:dyDescent="0.2">
      <c r="A48" s="576"/>
      <c r="B48" s="98"/>
      <c r="C48" s="98"/>
      <c r="D48" s="98"/>
      <c r="E48" s="98"/>
      <c r="F48" s="576"/>
      <c r="G48" s="576"/>
      <c r="H48" s="576"/>
      <c r="I48" s="576"/>
      <c r="J48" s="576"/>
      <c r="K48" s="576"/>
      <c r="L48" s="576"/>
      <c r="M48" s="576"/>
      <c r="N48" s="576"/>
      <c r="O48" s="576"/>
      <c r="P48" s="576"/>
      <c r="Q48" s="576"/>
      <c r="R48" s="576"/>
      <c r="S48" s="576"/>
      <c r="T48" s="576"/>
      <c r="U48" s="576"/>
      <c r="V48" s="576"/>
      <c r="W48" s="576"/>
      <c r="X48" s="576"/>
      <c r="Y48" s="576"/>
      <c r="Z48" s="576"/>
      <c r="AA48" s="576"/>
      <c r="AB48" s="576"/>
      <c r="AC48" s="576"/>
      <c r="AD48" s="576"/>
      <c r="AE48" s="576"/>
      <c r="AF48" s="576"/>
      <c r="AG48" s="576"/>
      <c r="AH48" s="576"/>
      <c r="AI48" s="576"/>
      <c r="AJ48" s="576"/>
      <c r="AK48" s="576"/>
      <c r="AL48" s="576"/>
      <c r="AM48" s="576"/>
      <c r="AN48" s="576"/>
      <c r="AO48" s="576"/>
      <c r="AP48" s="576"/>
      <c r="AQ48" s="576"/>
      <c r="AR48" s="576"/>
      <c r="AS48" s="576"/>
      <c r="AT48" s="98"/>
      <c r="AU48" s="98"/>
      <c r="AV48" s="98"/>
      <c r="AW48" s="98"/>
      <c r="AX48" s="98"/>
      <c r="AY48" s="98"/>
      <c r="AZ48" s="576"/>
      <c r="BA48" s="576"/>
      <c r="BB48" s="576"/>
      <c r="BC48" s="576"/>
      <c r="BD48" s="576"/>
      <c r="BE48" s="576"/>
      <c r="BF48" s="576"/>
      <c r="BG48" s="576"/>
      <c r="BH48" s="576"/>
      <c r="BI48" s="576"/>
      <c r="BJ48" s="576"/>
      <c r="BK48" s="576"/>
      <c r="BL48" s="576"/>
      <c r="BM48" s="576"/>
      <c r="BN48" s="576"/>
      <c r="BO48" s="576"/>
      <c r="BP48" s="576"/>
      <c r="BQ48" s="576"/>
      <c r="BR48" s="576"/>
      <c r="BS48" s="576"/>
      <c r="BT48" s="576"/>
      <c r="BU48" s="576"/>
      <c r="BV48" s="576"/>
      <c r="BW48" s="576"/>
      <c r="BX48" s="577"/>
    </row>
    <row r="49" spans="1:76" x14ac:dyDescent="0.2">
      <c r="A49" s="576"/>
      <c r="B49" s="98"/>
      <c r="C49" s="98"/>
      <c r="D49" s="98"/>
      <c r="E49" s="98"/>
      <c r="F49" s="576"/>
      <c r="G49" s="576"/>
      <c r="H49" s="576"/>
      <c r="I49" s="576"/>
      <c r="J49" s="576"/>
      <c r="K49" s="576"/>
      <c r="L49" s="576"/>
      <c r="M49" s="576"/>
      <c r="N49" s="576"/>
      <c r="O49" s="576"/>
      <c r="P49" s="576"/>
      <c r="Q49" s="576"/>
      <c r="R49" s="576"/>
      <c r="S49" s="576"/>
      <c r="T49" s="576"/>
      <c r="U49" s="576"/>
      <c r="V49" s="576"/>
      <c r="W49" s="576"/>
      <c r="X49" s="576"/>
      <c r="Y49" s="576"/>
      <c r="Z49" s="576"/>
      <c r="AA49" s="576"/>
      <c r="AB49" s="576"/>
      <c r="AC49" s="576"/>
      <c r="AD49" s="576"/>
      <c r="AE49" s="576"/>
      <c r="AF49" s="576"/>
      <c r="AG49" s="576"/>
      <c r="AH49" s="576"/>
      <c r="AI49" s="576"/>
      <c r="AJ49" s="576"/>
      <c r="AK49" s="576"/>
      <c r="AL49" s="576"/>
      <c r="AM49" s="576"/>
      <c r="AN49" s="576"/>
      <c r="AO49" s="576"/>
      <c r="AP49" s="576"/>
      <c r="AQ49" s="576"/>
      <c r="AR49" s="576"/>
      <c r="AS49" s="576"/>
      <c r="AT49" s="98"/>
      <c r="AU49" s="98"/>
      <c r="AV49" s="98"/>
      <c r="AW49" s="98"/>
      <c r="AX49" s="98"/>
      <c r="AY49" s="98"/>
      <c r="AZ49" s="576"/>
      <c r="BA49" s="576"/>
      <c r="BB49" s="576"/>
      <c r="BC49" s="576"/>
      <c r="BD49" s="576"/>
      <c r="BE49" s="576"/>
      <c r="BF49" s="576"/>
      <c r="BG49" s="576"/>
      <c r="BH49" s="576"/>
      <c r="BI49" s="576"/>
      <c r="BJ49" s="576"/>
      <c r="BK49" s="576"/>
      <c r="BL49" s="576"/>
      <c r="BM49" s="576"/>
      <c r="BN49" s="576"/>
      <c r="BO49" s="576"/>
      <c r="BP49" s="576"/>
      <c r="BQ49" s="576"/>
      <c r="BR49" s="576"/>
      <c r="BS49" s="576"/>
      <c r="BT49" s="576"/>
      <c r="BU49" s="576"/>
      <c r="BV49" s="576"/>
      <c r="BW49" s="576"/>
      <c r="BX49" s="577"/>
    </row>
    <row r="50" spans="1:76" x14ac:dyDescent="0.2">
      <c r="A50" s="576"/>
      <c r="B50" s="98"/>
      <c r="C50" s="98"/>
      <c r="D50" s="98"/>
      <c r="E50" s="98"/>
      <c r="F50" s="576"/>
      <c r="G50" s="576"/>
      <c r="H50" s="576"/>
      <c r="I50" s="576"/>
      <c r="J50" s="576"/>
      <c r="K50" s="576"/>
      <c r="L50" s="576"/>
      <c r="M50" s="576"/>
      <c r="N50" s="576"/>
      <c r="O50" s="576"/>
      <c r="P50" s="576"/>
      <c r="Q50" s="576"/>
      <c r="R50" s="576"/>
      <c r="S50" s="576"/>
      <c r="T50" s="576"/>
      <c r="U50" s="576"/>
      <c r="V50" s="576"/>
      <c r="W50" s="576"/>
      <c r="X50" s="576"/>
      <c r="Y50" s="576"/>
      <c r="Z50" s="576"/>
      <c r="AA50" s="576"/>
      <c r="AB50" s="576"/>
      <c r="AC50" s="576"/>
      <c r="AD50" s="576"/>
      <c r="AE50" s="576"/>
      <c r="AF50" s="576"/>
      <c r="AG50" s="576"/>
      <c r="AH50" s="576"/>
      <c r="AI50" s="576"/>
      <c r="AJ50" s="576"/>
      <c r="AK50" s="576"/>
      <c r="AL50" s="576"/>
      <c r="AM50" s="576"/>
      <c r="AN50" s="576"/>
      <c r="AO50" s="576"/>
      <c r="AP50" s="576"/>
      <c r="AQ50" s="576"/>
      <c r="AR50" s="576"/>
      <c r="AS50" s="576"/>
      <c r="AT50" s="98"/>
      <c r="AU50" s="98"/>
      <c r="AV50" s="98"/>
      <c r="AW50" s="98"/>
      <c r="AX50" s="98"/>
      <c r="AY50" s="98"/>
      <c r="AZ50" s="576"/>
      <c r="BA50" s="576"/>
      <c r="BB50" s="576"/>
      <c r="BC50" s="576"/>
      <c r="BD50" s="576"/>
      <c r="BE50" s="576"/>
      <c r="BF50" s="576"/>
      <c r="BG50" s="576"/>
      <c r="BH50" s="576"/>
      <c r="BI50" s="576"/>
      <c r="BJ50" s="576"/>
      <c r="BK50" s="576"/>
      <c r="BL50" s="576"/>
      <c r="BM50" s="576"/>
      <c r="BN50" s="576"/>
      <c r="BO50" s="576"/>
      <c r="BP50" s="576"/>
      <c r="BQ50" s="576"/>
      <c r="BR50" s="576"/>
      <c r="BS50" s="576"/>
      <c r="BT50" s="576"/>
      <c r="BU50" s="576"/>
      <c r="BV50" s="576"/>
      <c r="BW50" s="576"/>
      <c r="BX50" s="577"/>
    </row>
    <row r="51" spans="1:76" x14ac:dyDescent="0.2">
      <c r="A51" s="576"/>
      <c r="B51" s="98"/>
      <c r="C51" s="98"/>
      <c r="D51" s="98"/>
      <c r="E51" s="98"/>
      <c r="F51" s="576"/>
      <c r="G51" s="576"/>
      <c r="H51" s="576"/>
      <c r="I51" s="576"/>
      <c r="J51" s="576"/>
      <c r="K51" s="576"/>
      <c r="L51" s="576"/>
      <c r="M51" s="576"/>
      <c r="N51" s="576"/>
      <c r="O51" s="576"/>
      <c r="P51" s="576"/>
      <c r="Q51" s="576"/>
      <c r="R51" s="576"/>
      <c r="S51" s="576"/>
      <c r="T51" s="576"/>
      <c r="U51" s="576"/>
      <c r="V51" s="576"/>
      <c r="W51" s="576"/>
      <c r="X51" s="576"/>
      <c r="Y51" s="576"/>
      <c r="Z51" s="576"/>
      <c r="AA51" s="576"/>
      <c r="AB51" s="576"/>
      <c r="AC51" s="576"/>
      <c r="AD51" s="576"/>
      <c r="AE51" s="576"/>
      <c r="AF51" s="576"/>
      <c r="AG51" s="576"/>
      <c r="AH51" s="576"/>
      <c r="AI51" s="576"/>
      <c r="AJ51" s="576"/>
      <c r="AK51" s="576"/>
      <c r="AL51" s="576"/>
      <c r="AM51" s="576"/>
      <c r="AN51" s="576"/>
      <c r="AO51" s="576"/>
      <c r="AP51" s="576"/>
      <c r="AQ51" s="576"/>
      <c r="AR51" s="576"/>
      <c r="AS51" s="576"/>
      <c r="AT51" s="98"/>
      <c r="AU51" s="98"/>
      <c r="AV51" s="98"/>
      <c r="AW51" s="98"/>
      <c r="AX51" s="98"/>
      <c r="AY51" s="98"/>
      <c r="AZ51" s="576"/>
      <c r="BA51" s="576"/>
      <c r="BB51" s="576"/>
      <c r="BC51" s="576"/>
      <c r="BD51" s="576"/>
      <c r="BE51" s="576"/>
      <c r="BF51" s="576"/>
      <c r="BG51" s="576"/>
      <c r="BH51" s="576"/>
      <c r="BI51" s="576"/>
      <c r="BJ51" s="576"/>
      <c r="BK51" s="576"/>
      <c r="BL51" s="576"/>
      <c r="BM51" s="576"/>
      <c r="BN51" s="576"/>
      <c r="BO51" s="576"/>
      <c r="BP51" s="576"/>
      <c r="BQ51" s="576"/>
      <c r="BR51" s="576"/>
      <c r="BS51" s="576"/>
      <c r="BT51" s="576"/>
      <c r="BU51" s="576"/>
      <c r="BV51" s="576"/>
      <c r="BW51" s="576"/>
      <c r="BX51" s="577"/>
    </row>
    <row r="52" spans="1:76" x14ac:dyDescent="0.2">
      <c r="A52" s="576"/>
      <c r="B52" s="98"/>
      <c r="C52" s="98"/>
      <c r="D52" s="98"/>
      <c r="E52" s="98"/>
      <c r="F52" s="576"/>
      <c r="G52" s="576"/>
      <c r="H52" s="576"/>
      <c r="I52" s="576"/>
      <c r="J52" s="576"/>
      <c r="K52" s="576"/>
      <c r="L52" s="576"/>
      <c r="M52" s="576"/>
      <c r="N52" s="576"/>
      <c r="O52" s="576"/>
      <c r="P52" s="576"/>
      <c r="Q52" s="576"/>
      <c r="R52" s="576"/>
      <c r="S52" s="576"/>
      <c r="T52" s="576"/>
      <c r="U52" s="576"/>
      <c r="V52" s="576"/>
      <c r="W52" s="576"/>
      <c r="X52" s="576"/>
      <c r="Y52" s="576"/>
      <c r="Z52" s="576"/>
      <c r="AA52" s="576"/>
      <c r="AB52" s="576"/>
      <c r="AC52" s="576"/>
      <c r="AD52" s="576"/>
      <c r="AE52" s="576"/>
      <c r="AF52" s="576"/>
      <c r="AG52" s="576"/>
      <c r="AH52" s="576"/>
      <c r="AI52" s="576"/>
      <c r="AJ52" s="576"/>
      <c r="AK52" s="576"/>
      <c r="AL52" s="576"/>
      <c r="AM52" s="576"/>
      <c r="AN52" s="576"/>
      <c r="AO52" s="576"/>
      <c r="AP52" s="576"/>
      <c r="AQ52" s="576"/>
      <c r="AR52" s="576"/>
      <c r="AS52" s="576"/>
      <c r="AT52" s="98"/>
      <c r="AU52" s="98"/>
      <c r="AV52" s="98"/>
      <c r="AW52" s="98"/>
      <c r="AX52" s="98"/>
      <c r="AY52" s="98"/>
      <c r="AZ52" s="576"/>
      <c r="BA52" s="576"/>
      <c r="BB52" s="576"/>
      <c r="BC52" s="576"/>
      <c r="BD52" s="576"/>
      <c r="BE52" s="576"/>
      <c r="BF52" s="576"/>
      <c r="BG52" s="576"/>
      <c r="BH52" s="576"/>
      <c r="BI52" s="576"/>
      <c r="BJ52" s="576"/>
      <c r="BK52" s="576"/>
      <c r="BL52" s="576"/>
      <c r="BM52" s="576"/>
      <c r="BN52" s="576"/>
      <c r="BO52" s="576"/>
      <c r="BP52" s="576"/>
      <c r="BQ52" s="576"/>
      <c r="BR52" s="576"/>
      <c r="BS52" s="576"/>
      <c r="BT52" s="576"/>
      <c r="BU52" s="576"/>
      <c r="BV52" s="576"/>
      <c r="BW52" s="576"/>
      <c r="BX52" s="577"/>
    </row>
    <row r="53" spans="1:76" x14ac:dyDescent="0.2">
      <c r="A53" s="576"/>
      <c r="B53" s="98"/>
      <c r="C53" s="98"/>
      <c r="D53" s="98"/>
      <c r="E53" s="98"/>
      <c r="F53" s="576"/>
      <c r="G53" s="576"/>
      <c r="H53" s="576"/>
      <c r="I53" s="576"/>
      <c r="J53" s="576"/>
      <c r="K53" s="576"/>
      <c r="L53" s="576"/>
      <c r="M53" s="576"/>
      <c r="N53" s="576"/>
      <c r="O53" s="576"/>
      <c r="P53" s="576"/>
      <c r="Q53" s="576"/>
      <c r="R53" s="576"/>
      <c r="S53" s="576"/>
      <c r="T53" s="576"/>
      <c r="U53" s="576"/>
      <c r="V53" s="576"/>
      <c r="W53" s="576"/>
      <c r="X53" s="576"/>
      <c r="Y53" s="576"/>
      <c r="Z53" s="576"/>
      <c r="AA53" s="576"/>
      <c r="AB53" s="576"/>
      <c r="AC53" s="576"/>
      <c r="AD53" s="576"/>
      <c r="AE53" s="576"/>
      <c r="AF53" s="576"/>
      <c r="AG53" s="576"/>
      <c r="AH53" s="576"/>
      <c r="AI53" s="576"/>
      <c r="AJ53" s="576"/>
      <c r="AK53" s="576"/>
      <c r="AL53" s="576"/>
      <c r="AM53" s="576"/>
      <c r="AN53" s="576"/>
      <c r="AO53" s="576"/>
      <c r="AP53" s="576"/>
      <c r="AQ53" s="576"/>
      <c r="AR53" s="576"/>
      <c r="AS53" s="576"/>
      <c r="AT53" s="98"/>
      <c r="AU53" s="98"/>
      <c r="AV53" s="98"/>
      <c r="AW53" s="98"/>
      <c r="AX53" s="98"/>
      <c r="AY53" s="98"/>
      <c r="AZ53" s="576"/>
      <c r="BA53" s="576"/>
      <c r="BB53" s="576"/>
      <c r="BC53" s="576"/>
      <c r="BD53" s="576"/>
      <c r="BE53" s="576"/>
      <c r="BF53" s="576"/>
      <c r="BG53" s="576"/>
      <c r="BH53" s="576"/>
      <c r="BI53" s="576"/>
      <c r="BJ53" s="576"/>
      <c r="BK53" s="576"/>
      <c r="BL53" s="576"/>
      <c r="BM53" s="576"/>
      <c r="BN53" s="576"/>
      <c r="BO53" s="576"/>
      <c r="BP53" s="576"/>
      <c r="BQ53" s="576"/>
      <c r="BR53" s="576"/>
      <c r="BS53" s="576"/>
      <c r="BT53" s="576"/>
      <c r="BU53" s="576"/>
      <c r="BV53" s="576"/>
      <c r="BW53" s="576"/>
      <c r="BX53" s="577"/>
    </row>
    <row r="54" spans="1:76" x14ac:dyDescent="0.2">
      <c r="A54" s="576"/>
      <c r="B54" s="98"/>
      <c r="C54" s="98"/>
      <c r="D54" s="98"/>
      <c r="E54" s="98"/>
      <c r="F54" s="576"/>
      <c r="G54" s="576"/>
      <c r="H54" s="576"/>
      <c r="I54" s="576"/>
      <c r="J54" s="576"/>
      <c r="K54" s="576"/>
      <c r="L54" s="576"/>
      <c r="M54" s="576"/>
      <c r="N54" s="576"/>
      <c r="O54" s="576"/>
      <c r="P54" s="576"/>
      <c r="Q54" s="576"/>
      <c r="R54" s="576"/>
      <c r="S54" s="576"/>
      <c r="T54" s="576"/>
      <c r="U54" s="576"/>
      <c r="V54" s="576"/>
      <c r="W54" s="576"/>
      <c r="X54" s="576"/>
      <c r="Y54" s="576"/>
      <c r="Z54" s="576"/>
      <c r="AA54" s="576"/>
      <c r="AB54" s="576"/>
      <c r="AC54" s="576"/>
      <c r="AD54" s="576"/>
      <c r="AE54" s="576"/>
      <c r="AF54" s="576"/>
      <c r="AG54" s="576"/>
      <c r="AH54" s="576"/>
      <c r="AI54" s="576"/>
      <c r="AJ54" s="576"/>
      <c r="AK54" s="576"/>
      <c r="AL54" s="576"/>
      <c r="AM54" s="576"/>
      <c r="AN54" s="576"/>
      <c r="AO54" s="576"/>
      <c r="AP54" s="576"/>
      <c r="AQ54" s="576"/>
      <c r="AR54" s="576"/>
      <c r="AS54" s="576"/>
      <c r="AT54" s="98"/>
      <c r="AU54" s="98"/>
      <c r="AV54" s="98"/>
      <c r="AW54" s="98"/>
      <c r="AX54" s="98"/>
      <c r="AY54" s="98"/>
      <c r="AZ54" s="576"/>
      <c r="BA54" s="576"/>
      <c r="BB54" s="576"/>
      <c r="BC54" s="576"/>
      <c r="BD54" s="576"/>
      <c r="BE54" s="576"/>
      <c r="BF54" s="576"/>
      <c r="BG54" s="576"/>
      <c r="BH54" s="576"/>
      <c r="BI54" s="576"/>
      <c r="BJ54" s="576"/>
      <c r="BK54" s="576"/>
      <c r="BL54" s="576"/>
      <c r="BM54" s="576"/>
      <c r="BN54" s="576"/>
      <c r="BO54" s="576"/>
      <c r="BP54" s="576"/>
      <c r="BQ54" s="576"/>
      <c r="BR54" s="576"/>
      <c r="BS54" s="576"/>
      <c r="BT54" s="576"/>
      <c r="BU54" s="576"/>
      <c r="BV54" s="576"/>
      <c r="BW54" s="576"/>
      <c r="BX54" s="577"/>
    </row>
    <row r="55" spans="1:76" x14ac:dyDescent="0.2">
      <c r="A55" s="576"/>
      <c r="B55" s="98"/>
      <c r="C55" s="98"/>
      <c r="D55" s="98"/>
      <c r="E55" s="98"/>
      <c r="F55" s="576"/>
      <c r="G55" s="576"/>
      <c r="H55" s="576"/>
      <c r="I55" s="576"/>
      <c r="J55" s="576"/>
      <c r="K55" s="576"/>
      <c r="L55" s="576"/>
      <c r="M55" s="576"/>
      <c r="N55" s="576"/>
      <c r="O55" s="576"/>
      <c r="P55" s="576"/>
      <c r="Q55" s="576"/>
      <c r="R55" s="576"/>
      <c r="S55" s="576"/>
      <c r="T55" s="576"/>
      <c r="U55" s="576"/>
      <c r="V55" s="576"/>
      <c r="W55" s="576"/>
      <c r="X55" s="576"/>
      <c r="Y55" s="576"/>
      <c r="Z55" s="576"/>
      <c r="AA55" s="576"/>
      <c r="AB55" s="576"/>
      <c r="AC55" s="576"/>
      <c r="AD55" s="576"/>
      <c r="AE55" s="576"/>
      <c r="AF55" s="576"/>
      <c r="AG55" s="576"/>
      <c r="AH55" s="576"/>
      <c r="AI55" s="576"/>
      <c r="AJ55" s="576"/>
      <c r="AK55" s="576"/>
      <c r="AL55" s="576"/>
      <c r="AM55" s="576"/>
      <c r="AN55" s="576"/>
      <c r="AO55" s="576"/>
      <c r="AP55" s="576"/>
      <c r="AQ55" s="576"/>
      <c r="AR55" s="576"/>
      <c r="AS55" s="576"/>
      <c r="AT55" s="98"/>
      <c r="AU55" s="98"/>
      <c r="AV55" s="98"/>
      <c r="AW55" s="98"/>
      <c r="AX55" s="98"/>
      <c r="AY55" s="98"/>
      <c r="AZ55" s="576"/>
      <c r="BA55" s="576"/>
      <c r="BB55" s="576"/>
      <c r="BC55" s="576"/>
      <c r="BD55" s="576"/>
      <c r="BE55" s="576"/>
      <c r="BF55" s="576"/>
      <c r="BG55" s="576"/>
      <c r="BH55" s="576"/>
      <c r="BI55" s="576"/>
      <c r="BJ55" s="576"/>
      <c r="BK55" s="576"/>
      <c r="BL55" s="576"/>
      <c r="BM55" s="576"/>
      <c r="BN55" s="576"/>
      <c r="BO55" s="576"/>
      <c r="BP55" s="576"/>
      <c r="BQ55" s="576"/>
      <c r="BR55" s="576"/>
      <c r="BS55" s="576"/>
      <c r="BT55" s="576"/>
      <c r="BU55" s="576"/>
      <c r="BV55" s="576"/>
      <c r="BW55" s="576"/>
      <c r="BX55" s="577"/>
    </row>
    <row r="56" spans="1:76" x14ac:dyDescent="0.2">
      <c r="A56" s="576"/>
      <c r="B56" s="98"/>
      <c r="C56" s="98"/>
      <c r="D56" s="98"/>
      <c r="E56" s="98"/>
      <c r="F56" s="576"/>
      <c r="G56" s="576"/>
      <c r="H56" s="576"/>
      <c r="I56" s="576"/>
      <c r="J56" s="576"/>
      <c r="K56" s="576"/>
      <c r="L56" s="576"/>
      <c r="M56" s="576"/>
      <c r="N56" s="576"/>
      <c r="O56" s="576"/>
      <c r="P56" s="576"/>
      <c r="Q56" s="576"/>
      <c r="R56" s="576"/>
      <c r="S56" s="576"/>
      <c r="T56" s="576"/>
      <c r="U56" s="576"/>
      <c r="V56" s="576"/>
      <c r="W56" s="576"/>
      <c r="X56" s="576"/>
      <c r="Y56" s="576"/>
      <c r="Z56" s="576"/>
      <c r="AA56" s="576"/>
      <c r="AB56" s="576"/>
      <c r="AC56" s="576"/>
      <c r="AD56" s="576"/>
      <c r="AE56" s="576"/>
      <c r="AF56" s="576"/>
      <c r="AG56" s="576"/>
      <c r="AH56" s="576"/>
      <c r="AI56" s="576"/>
      <c r="AJ56" s="576"/>
      <c r="AK56" s="576"/>
      <c r="AL56" s="576"/>
      <c r="AM56" s="576"/>
      <c r="AN56" s="576"/>
      <c r="AO56" s="576"/>
      <c r="AP56" s="576"/>
      <c r="AQ56" s="576"/>
      <c r="AR56" s="576"/>
      <c r="AS56" s="576"/>
      <c r="AT56" s="98"/>
      <c r="AU56" s="98"/>
      <c r="AV56" s="98"/>
      <c r="AW56" s="98"/>
      <c r="AX56" s="98"/>
      <c r="AY56" s="98"/>
      <c r="AZ56" s="576"/>
      <c r="BA56" s="576"/>
      <c r="BB56" s="576"/>
      <c r="BC56" s="576"/>
      <c r="BD56" s="576"/>
      <c r="BE56" s="576"/>
      <c r="BF56" s="576"/>
      <c r="BG56" s="576"/>
      <c r="BH56" s="576"/>
      <c r="BI56" s="576"/>
      <c r="BJ56" s="576"/>
      <c r="BK56" s="576"/>
      <c r="BL56" s="576"/>
      <c r="BM56" s="576"/>
      <c r="BN56" s="576"/>
      <c r="BO56" s="576"/>
      <c r="BP56" s="576"/>
      <c r="BQ56" s="576"/>
      <c r="BR56" s="576"/>
      <c r="BS56" s="576"/>
      <c r="BT56" s="576"/>
      <c r="BU56" s="576"/>
      <c r="BV56" s="576"/>
      <c r="BW56" s="576"/>
      <c r="BX56" s="577"/>
    </row>
    <row r="57" spans="1:76" x14ac:dyDescent="0.2">
      <c r="A57" s="576"/>
      <c r="B57" s="98"/>
      <c r="C57" s="98"/>
      <c r="D57" s="98"/>
      <c r="E57" s="98"/>
      <c r="F57" s="576"/>
      <c r="G57" s="576"/>
      <c r="H57" s="576"/>
      <c r="I57" s="576"/>
      <c r="J57" s="576"/>
      <c r="K57" s="576"/>
      <c r="L57" s="576"/>
      <c r="M57" s="576"/>
      <c r="N57" s="576"/>
      <c r="O57" s="576"/>
      <c r="P57" s="576"/>
      <c r="Q57" s="576"/>
      <c r="R57" s="576"/>
      <c r="S57" s="576"/>
      <c r="T57" s="576"/>
      <c r="U57" s="576"/>
      <c r="V57" s="576"/>
      <c r="W57" s="576"/>
      <c r="X57" s="576"/>
      <c r="Y57" s="576"/>
      <c r="Z57" s="576"/>
      <c r="AA57" s="576"/>
      <c r="AB57" s="576"/>
      <c r="AC57" s="576"/>
      <c r="AD57" s="576"/>
      <c r="AE57" s="576"/>
      <c r="AF57" s="576"/>
      <c r="AG57" s="576"/>
      <c r="AH57" s="576"/>
      <c r="AI57" s="576"/>
      <c r="AJ57" s="576"/>
      <c r="AK57" s="576"/>
      <c r="AL57" s="576"/>
      <c r="AM57" s="576"/>
      <c r="AN57" s="576"/>
      <c r="AO57" s="576"/>
      <c r="AP57" s="576"/>
      <c r="AQ57" s="576"/>
      <c r="AR57" s="576"/>
      <c r="AS57" s="576"/>
      <c r="AT57" s="98"/>
      <c r="AU57" s="98"/>
      <c r="AV57" s="98"/>
      <c r="AW57" s="98"/>
      <c r="AX57" s="98"/>
      <c r="AY57" s="98"/>
      <c r="AZ57" s="576"/>
      <c r="BA57" s="576"/>
      <c r="BB57" s="576"/>
      <c r="BC57" s="576"/>
      <c r="BD57" s="576"/>
      <c r="BE57" s="576"/>
      <c r="BF57" s="576"/>
      <c r="BG57" s="576"/>
      <c r="BH57" s="576"/>
      <c r="BI57" s="576"/>
      <c r="BJ57" s="576"/>
      <c r="BK57" s="576"/>
      <c r="BL57" s="576"/>
      <c r="BM57" s="576"/>
      <c r="BN57" s="576"/>
      <c r="BO57" s="576"/>
      <c r="BP57" s="576"/>
      <c r="BQ57" s="576"/>
      <c r="BR57" s="576"/>
      <c r="BS57" s="576"/>
      <c r="BT57" s="576"/>
      <c r="BU57" s="576"/>
      <c r="BV57" s="576"/>
      <c r="BW57" s="576"/>
      <c r="BX57" s="577"/>
    </row>
    <row r="58" spans="1:76" x14ac:dyDescent="0.2">
      <c r="A58" s="576"/>
      <c r="B58" s="98"/>
      <c r="C58" s="98"/>
      <c r="D58" s="98"/>
      <c r="E58" s="98"/>
      <c r="F58" s="576"/>
      <c r="G58" s="576"/>
      <c r="H58" s="576"/>
      <c r="I58" s="576"/>
      <c r="J58" s="576"/>
      <c r="K58" s="576"/>
      <c r="L58" s="576"/>
      <c r="M58" s="576"/>
      <c r="N58" s="576"/>
      <c r="O58" s="576"/>
      <c r="P58" s="576"/>
      <c r="Q58" s="576"/>
      <c r="R58" s="576"/>
      <c r="S58" s="576"/>
      <c r="T58" s="576"/>
      <c r="U58" s="576"/>
      <c r="V58" s="576"/>
      <c r="W58" s="576"/>
      <c r="X58" s="576"/>
      <c r="Y58" s="576"/>
      <c r="Z58" s="576"/>
      <c r="AA58" s="576"/>
      <c r="AB58" s="576"/>
      <c r="AC58" s="576"/>
      <c r="AD58" s="576"/>
      <c r="AE58" s="576"/>
      <c r="AF58" s="576"/>
      <c r="AG58" s="576"/>
      <c r="AH58" s="576"/>
      <c r="AI58" s="576"/>
      <c r="AJ58" s="576"/>
      <c r="AK58" s="576"/>
      <c r="AL58" s="576"/>
      <c r="AM58" s="576"/>
      <c r="AN58" s="576"/>
      <c r="AO58" s="576"/>
      <c r="AP58" s="576"/>
      <c r="AQ58" s="576"/>
      <c r="AR58" s="576"/>
      <c r="AS58" s="576"/>
      <c r="AT58" s="98"/>
      <c r="AU58" s="98"/>
      <c r="AV58" s="98"/>
      <c r="AW58" s="98"/>
      <c r="AX58" s="98"/>
      <c r="AY58" s="98"/>
      <c r="AZ58" s="576"/>
      <c r="BA58" s="576"/>
      <c r="BB58" s="576"/>
      <c r="BC58" s="576"/>
      <c r="BD58" s="576"/>
      <c r="BE58" s="576"/>
      <c r="BF58" s="576"/>
      <c r="BG58" s="576"/>
      <c r="BH58" s="576"/>
      <c r="BI58" s="576"/>
      <c r="BJ58" s="576"/>
      <c r="BK58" s="576"/>
      <c r="BL58" s="576"/>
      <c r="BM58" s="576"/>
      <c r="BN58" s="576"/>
      <c r="BO58" s="576"/>
      <c r="BP58" s="576"/>
      <c r="BQ58" s="576"/>
      <c r="BR58" s="576"/>
      <c r="BS58" s="576"/>
      <c r="BT58" s="576"/>
      <c r="BU58" s="576"/>
      <c r="BV58" s="576"/>
      <c r="BW58" s="576"/>
      <c r="BX58" s="577"/>
    </row>
    <row r="59" spans="1:76" x14ac:dyDescent="0.2">
      <c r="A59" s="576"/>
      <c r="B59" s="98"/>
      <c r="C59" s="98"/>
      <c r="D59" s="98"/>
      <c r="E59" s="98"/>
      <c r="F59" s="576"/>
      <c r="G59" s="576"/>
      <c r="H59" s="576"/>
      <c r="I59" s="576"/>
      <c r="J59" s="576"/>
      <c r="K59" s="576"/>
      <c r="L59" s="576"/>
      <c r="M59" s="576"/>
      <c r="N59" s="576"/>
      <c r="O59" s="576"/>
      <c r="P59" s="576"/>
      <c r="Q59" s="576"/>
      <c r="R59" s="576"/>
      <c r="S59" s="576"/>
      <c r="T59" s="576"/>
      <c r="U59" s="576"/>
      <c r="V59" s="576"/>
      <c r="W59" s="576"/>
      <c r="X59" s="576"/>
      <c r="Y59" s="576"/>
      <c r="Z59" s="576"/>
      <c r="AA59" s="576"/>
      <c r="AB59" s="576"/>
      <c r="AC59" s="576"/>
      <c r="AD59" s="576"/>
      <c r="AE59" s="576"/>
      <c r="AF59" s="576"/>
      <c r="AG59" s="576"/>
      <c r="AH59" s="576"/>
      <c r="AI59" s="576"/>
      <c r="AJ59" s="576"/>
      <c r="AK59" s="576"/>
      <c r="AL59" s="576"/>
      <c r="AM59" s="576"/>
      <c r="AN59" s="576"/>
      <c r="AO59" s="576"/>
      <c r="AP59" s="576"/>
      <c r="AQ59" s="576"/>
      <c r="AR59" s="576"/>
      <c r="AS59" s="576"/>
      <c r="AT59" s="98"/>
      <c r="AU59" s="98"/>
      <c r="AV59" s="98"/>
      <c r="AW59" s="98"/>
      <c r="AX59" s="98"/>
      <c r="AY59" s="98"/>
      <c r="AZ59" s="576"/>
      <c r="BA59" s="576"/>
      <c r="BB59" s="576"/>
      <c r="BC59" s="576"/>
      <c r="BD59" s="576"/>
      <c r="BE59" s="576"/>
      <c r="BF59" s="576"/>
      <c r="BG59" s="576"/>
      <c r="BH59" s="576"/>
      <c r="BI59" s="576"/>
      <c r="BJ59" s="576"/>
      <c r="BK59" s="576"/>
      <c r="BL59" s="576"/>
      <c r="BM59" s="576"/>
      <c r="BN59" s="576"/>
      <c r="BO59" s="576"/>
      <c r="BP59" s="576"/>
      <c r="BQ59" s="576"/>
      <c r="BR59" s="576"/>
      <c r="BS59" s="576"/>
      <c r="BT59" s="576"/>
      <c r="BU59" s="576"/>
      <c r="BV59" s="576"/>
      <c r="BW59" s="576"/>
      <c r="BX59" s="577"/>
    </row>
    <row r="60" spans="1:76" x14ac:dyDescent="0.2">
      <c r="A60" s="576"/>
      <c r="B60" s="98"/>
      <c r="C60" s="98"/>
      <c r="D60" s="98"/>
      <c r="E60" s="98"/>
      <c r="F60" s="576"/>
      <c r="G60" s="576"/>
      <c r="H60" s="576"/>
      <c r="I60" s="576"/>
      <c r="J60" s="576"/>
      <c r="K60" s="576"/>
      <c r="L60" s="576"/>
      <c r="M60" s="576"/>
      <c r="N60" s="576"/>
      <c r="O60" s="576"/>
      <c r="P60" s="576"/>
      <c r="Q60" s="576"/>
      <c r="R60" s="576"/>
      <c r="S60" s="576"/>
      <c r="T60" s="576"/>
      <c r="U60" s="576"/>
      <c r="V60" s="576"/>
      <c r="W60" s="576"/>
      <c r="X60" s="576"/>
      <c r="Y60" s="576"/>
      <c r="Z60" s="576"/>
      <c r="AA60" s="576"/>
      <c r="AB60" s="576"/>
      <c r="AC60" s="576"/>
      <c r="AD60" s="576"/>
      <c r="AE60" s="576"/>
      <c r="AF60" s="576"/>
      <c r="AG60" s="576"/>
      <c r="AH60" s="576"/>
      <c r="AI60" s="576"/>
      <c r="AJ60" s="576"/>
      <c r="AK60" s="576"/>
      <c r="AL60" s="576"/>
      <c r="AM60" s="576"/>
      <c r="AN60" s="576"/>
      <c r="AO60" s="576"/>
      <c r="AP60" s="576"/>
      <c r="AQ60" s="576"/>
      <c r="AR60" s="576"/>
      <c r="AS60" s="576"/>
      <c r="AT60" s="98"/>
      <c r="AU60" s="98"/>
      <c r="AV60" s="98"/>
      <c r="AW60" s="98"/>
      <c r="AX60" s="98"/>
      <c r="AY60" s="98"/>
      <c r="AZ60" s="576"/>
      <c r="BA60" s="576"/>
      <c r="BB60" s="576"/>
      <c r="BC60" s="576"/>
      <c r="BD60" s="576"/>
      <c r="BE60" s="576"/>
      <c r="BF60" s="576"/>
      <c r="BG60" s="576"/>
      <c r="BH60" s="576"/>
      <c r="BI60" s="576"/>
      <c r="BJ60" s="576"/>
      <c r="BK60" s="576"/>
      <c r="BL60" s="576"/>
      <c r="BM60" s="576"/>
      <c r="BN60" s="576"/>
      <c r="BO60" s="576"/>
      <c r="BP60" s="576"/>
      <c r="BQ60" s="576"/>
      <c r="BR60" s="576"/>
      <c r="BS60" s="576"/>
      <c r="BT60" s="576"/>
      <c r="BU60" s="576"/>
      <c r="BV60" s="576"/>
      <c r="BW60" s="576"/>
      <c r="BX60" s="577"/>
    </row>
    <row r="61" spans="1:76" x14ac:dyDescent="0.2">
      <c r="A61" s="576"/>
      <c r="B61" s="98"/>
      <c r="C61" s="98"/>
      <c r="D61" s="98"/>
      <c r="E61" s="98"/>
      <c r="F61" s="576"/>
      <c r="G61" s="576"/>
      <c r="H61" s="576"/>
      <c r="I61" s="576"/>
      <c r="J61" s="576"/>
      <c r="K61" s="576"/>
      <c r="L61" s="576"/>
      <c r="M61" s="576"/>
      <c r="N61" s="576"/>
      <c r="O61" s="576"/>
      <c r="P61" s="576"/>
      <c r="Q61" s="576"/>
      <c r="R61" s="576"/>
      <c r="S61" s="576"/>
      <c r="T61" s="576"/>
      <c r="U61" s="576"/>
      <c r="V61" s="576"/>
      <c r="W61" s="576"/>
      <c r="X61" s="576"/>
      <c r="Y61" s="576"/>
      <c r="Z61" s="576"/>
      <c r="AA61" s="576"/>
      <c r="AB61" s="576"/>
      <c r="AC61" s="576"/>
      <c r="AD61" s="576"/>
      <c r="AE61" s="576"/>
      <c r="AF61" s="576"/>
      <c r="AG61" s="576"/>
      <c r="AH61" s="576"/>
      <c r="AI61" s="576"/>
      <c r="AJ61" s="576"/>
      <c r="AK61" s="576"/>
      <c r="AL61" s="576"/>
      <c r="AM61" s="576"/>
      <c r="AN61" s="576"/>
      <c r="AO61" s="576"/>
      <c r="AP61" s="576"/>
      <c r="AQ61" s="576"/>
      <c r="AR61" s="576"/>
      <c r="AS61" s="576"/>
      <c r="AT61" s="98"/>
      <c r="AU61" s="98"/>
      <c r="AV61" s="98"/>
      <c r="AW61" s="98"/>
      <c r="AX61" s="98"/>
      <c r="AY61" s="98"/>
      <c r="AZ61" s="576"/>
      <c r="BA61" s="576"/>
      <c r="BB61" s="576"/>
      <c r="BC61" s="576"/>
      <c r="BD61" s="576"/>
      <c r="BE61" s="576"/>
      <c r="BF61" s="576"/>
      <c r="BG61" s="576"/>
      <c r="BH61" s="576"/>
      <c r="BI61" s="576"/>
      <c r="BJ61" s="576"/>
      <c r="BK61" s="576"/>
      <c r="BL61" s="576"/>
      <c r="BM61" s="576"/>
      <c r="BN61" s="576"/>
      <c r="BO61" s="576"/>
      <c r="BP61" s="576"/>
      <c r="BQ61" s="576"/>
      <c r="BR61" s="576"/>
      <c r="BS61" s="576"/>
      <c r="BT61" s="576"/>
      <c r="BU61" s="576"/>
      <c r="BV61" s="576"/>
      <c r="BW61" s="576"/>
      <c r="BX61" s="577"/>
    </row>
    <row r="62" spans="1:76" x14ac:dyDescent="0.2">
      <c r="A62" s="576"/>
      <c r="B62" s="98"/>
      <c r="C62" s="98"/>
      <c r="D62" s="98"/>
      <c r="E62" s="98"/>
      <c r="F62" s="576"/>
      <c r="G62" s="576"/>
      <c r="H62" s="576"/>
      <c r="I62" s="576"/>
      <c r="J62" s="576"/>
      <c r="K62" s="576"/>
      <c r="L62" s="576"/>
      <c r="M62" s="576"/>
      <c r="N62" s="576"/>
      <c r="O62" s="576"/>
      <c r="P62" s="576"/>
      <c r="Q62" s="576"/>
      <c r="R62" s="576"/>
      <c r="S62" s="576"/>
      <c r="T62" s="576"/>
      <c r="U62" s="576"/>
      <c r="V62" s="576"/>
      <c r="W62" s="576"/>
      <c r="X62" s="576"/>
      <c r="Y62" s="576"/>
      <c r="Z62" s="576"/>
      <c r="AA62" s="576"/>
      <c r="AB62" s="576"/>
      <c r="AC62" s="576"/>
      <c r="AD62" s="576"/>
      <c r="AE62" s="576"/>
      <c r="AF62" s="576"/>
      <c r="AG62" s="576"/>
      <c r="AH62" s="576"/>
      <c r="AI62" s="576"/>
      <c r="AJ62" s="576"/>
      <c r="AK62" s="576"/>
      <c r="AL62" s="576"/>
      <c r="AM62" s="576"/>
      <c r="AN62" s="576"/>
      <c r="AO62" s="576"/>
      <c r="AP62" s="576"/>
      <c r="AQ62" s="576"/>
      <c r="AR62" s="576"/>
      <c r="AS62" s="576"/>
      <c r="AT62" s="98"/>
      <c r="AU62" s="98"/>
      <c r="AV62" s="98"/>
      <c r="AW62" s="98"/>
      <c r="AX62" s="98"/>
      <c r="AY62" s="98"/>
      <c r="AZ62" s="576"/>
      <c r="BA62" s="576"/>
      <c r="BB62" s="576"/>
      <c r="BC62" s="576"/>
      <c r="BD62" s="576"/>
      <c r="BE62" s="576"/>
      <c r="BF62" s="576"/>
      <c r="BG62" s="576"/>
      <c r="BH62" s="576"/>
      <c r="BI62" s="576"/>
      <c r="BJ62" s="576"/>
      <c r="BK62" s="576"/>
      <c r="BL62" s="576"/>
      <c r="BM62" s="576"/>
      <c r="BN62" s="576"/>
      <c r="BO62" s="576"/>
      <c r="BP62" s="576"/>
      <c r="BQ62" s="576"/>
      <c r="BR62" s="576"/>
      <c r="BS62" s="576"/>
      <c r="BT62" s="576"/>
      <c r="BU62" s="576"/>
      <c r="BV62" s="576"/>
      <c r="BW62" s="576"/>
      <c r="BX62" s="577"/>
    </row>
    <row r="63" spans="1:76" x14ac:dyDescent="0.2">
      <c r="A63" s="576"/>
      <c r="B63" s="98"/>
      <c r="C63" s="98"/>
      <c r="D63" s="98"/>
      <c r="E63" s="98"/>
      <c r="F63" s="576"/>
      <c r="G63" s="576"/>
      <c r="H63" s="576"/>
      <c r="I63" s="576"/>
      <c r="J63" s="576"/>
      <c r="K63" s="576"/>
      <c r="L63" s="576"/>
      <c r="M63" s="576"/>
      <c r="N63" s="576"/>
      <c r="O63" s="576"/>
      <c r="P63" s="576"/>
      <c r="Q63" s="576"/>
      <c r="R63" s="576"/>
      <c r="S63" s="576"/>
      <c r="T63" s="576"/>
      <c r="U63" s="576"/>
      <c r="V63" s="576"/>
      <c r="W63" s="576"/>
      <c r="X63" s="576"/>
      <c r="Y63" s="576"/>
      <c r="Z63" s="576"/>
      <c r="AA63" s="576"/>
      <c r="AB63" s="576"/>
      <c r="AC63" s="576"/>
      <c r="AD63" s="576"/>
      <c r="AE63" s="576"/>
      <c r="AF63" s="576"/>
      <c r="AG63" s="576"/>
      <c r="AH63" s="576"/>
      <c r="AI63" s="576"/>
      <c r="AJ63" s="576"/>
      <c r="AK63" s="576"/>
      <c r="AL63" s="576"/>
      <c r="AM63" s="576"/>
      <c r="AN63" s="576"/>
      <c r="AO63" s="576"/>
      <c r="AP63" s="576"/>
      <c r="AQ63" s="576"/>
      <c r="AR63" s="576"/>
      <c r="AS63" s="576"/>
      <c r="AT63" s="98"/>
      <c r="AU63" s="98"/>
      <c r="AV63" s="98"/>
      <c r="AW63" s="98"/>
      <c r="AX63" s="98"/>
      <c r="AY63" s="98"/>
      <c r="AZ63" s="576"/>
      <c r="BA63" s="576"/>
      <c r="BB63" s="576"/>
      <c r="BC63" s="576"/>
      <c r="BD63" s="576"/>
      <c r="BE63" s="576"/>
      <c r="BF63" s="576"/>
      <c r="BG63" s="576"/>
      <c r="BH63" s="576"/>
      <c r="BI63" s="576"/>
      <c r="BJ63" s="576"/>
      <c r="BK63" s="576"/>
      <c r="BL63" s="576"/>
      <c r="BM63" s="576"/>
      <c r="BN63" s="576"/>
      <c r="BO63" s="576"/>
      <c r="BP63" s="576"/>
      <c r="BQ63" s="576"/>
      <c r="BR63" s="576"/>
      <c r="BS63" s="576"/>
      <c r="BT63" s="576"/>
      <c r="BU63" s="576"/>
      <c r="BV63" s="576"/>
      <c r="BW63" s="576"/>
      <c r="BX63" s="577"/>
    </row>
    <row r="64" spans="1:76" x14ac:dyDescent="0.2">
      <c r="A64" s="576"/>
      <c r="B64" s="98"/>
      <c r="C64" s="98"/>
      <c r="D64" s="98"/>
      <c r="E64" s="98"/>
      <c r="F64" s="576"/>
      <c r="G64" s="576"/>
      <c r="H64" s="576"/>
      <c r="I64" s="576"/>
      <c r="J64" s="576"/>
      <c r="K64" s="576"/>
      <c r="L64" s="576"/>
      <c r="M64" s="576"/>
      <c r="N64" s="576"/>
      <c r="O64" s="576"/>
      <c r="P64" s="576"/>
      <c r="Q64" s="576"/>
      <c r="R64" s="576"/>
      <c r="S64" s="576"/>
      <c r="T64" s="576"/>
      <c r="U64" s="576"/>
      <c r="V64" s="576"/>
      <c r="W64" s="576"/>
      <c r="X64" s="576"/>
      <c r="Y64" s="576"/>
      <c r="Z64" s="576"/>
      <c r="AA64" s="576"/>
      <c r="AB64" s="576"/>
      <c r="AC64" s="576"/>
      <c r="AD64" s="576"/>
      <c r="AE64" s="576"/>
      <c r="AF64" s="576"/>
      <c r="AG64" s="576"/>
      <c r="AH64" s="576"/>
      <c r="AI64" s="576"/>
      <c r="AJ64" s="576"/>
      <c r="AK64" s="576"/>
      <c r="AL64" s="576"/>
      <c r="AM64" s="576"/>
      <c r="AN64" s="576"/>
      <c r="AO64" s="576"/>
      <c r="AP64" s="576"/>
      <c r="AQ64" s="576"/>
      <c r="AR64" s="576"/>
      <c r="AS64" s="576"/>
      <c r="AT64" s="98"/>
      <c r="AU64" s="98"/>
      <c r="AV64" s="98"/>
      <c r="AW64" s="98"/>
      <c r="AX64" s="98"/>
      <c r="AY64" s="98"/>
      <c r="AZ64" s="576"/>
      <c r="BA64" s="576"/>
      <c r="BB64" s="576"/>
      <c r="BC64" s="576"/>
      <c r="BD64" s="576"/>
      <c r="BE64" s="576"/>
      <c r="BF64" s="576"/>
      <c r="BG64" s="576"/>
      <c r="BH64" s="576"/>
      <c r="BI64" s="576"/>
      <c r="BJ64" s="576"/>
      <c r="BK64" s="576"/>
      <c r="BL64" s="576"/>
      <c r="BM64" s="576"/>
      <c r="BN64" s="576"/>
      <c r="BO64" s="576"/>
      <c r="BP64" s="576"/>
      <c r="BQ64" s="576"/>
      <c r="BR64" s="576"/>
      <c r="BS64" s="576"/>
      <c r="BT64" s="576"/>
      <c r="BU64" s="576"/>
      <c r="BV64" s="576"/>
      <c r="BW64" s="576"/>
      <c r="BX64" s="577"/>
    </row>
    <row r="65" spans="1:76" x14ac:dyDescent="0.2">
      <c r="A65" s="576"/>
      <c r="B65" s="98"/>
      <c r="C65" s="98"/>
      <c r="D65" s="98"/>
      <c r="E65" s="98"/>
      <c r="F65" s="576"/>
      <c r="G65" s="576"/>
      <c r="H65" s="576"/>
      <c r="I65" s="576"/>
      <c r="J65" s="576"/>
      <c r="K65" s="576"/>
      <c r="L65" s="576"/>
      <c r="M65" s="576"/>
      <c r="N65" s="576"/>
      <c r="O65" s="576"/>
      <c r="P65" s="576"/>
      <c r="Q65" s="576"/>
      <c r="R65" s="576"/>
      <c r="S65" s="576"/>
      <c r="T65" s="576"/>
      <c r="U65" s="576"/>
      <c r="V65" s="576"/>
      <c r="W65" s="576"/>
      <c r="X65" s="576"/>
      <c r="Y65" s="576"/>
      <c r="Z65" s="576"/>
      <c r="AA65" s="576"/>
      <c r="AB65" s="576"/>
      <c r="AC65" s="576"/>
      <c r="AD65" s="576"/>
      <c r="AE65" s="576"/>
      <c r="AF65" s="576"/>
      <c r="AG65" s="576"/>
      <c r="AH65" s="576"/>
      <c r="AI65" s="576"/>
      <c r="AJ65" s="576"/>
      <c r="AK65" s="576"/>
      <c r="AL65" s="576"/>
      <c r="AM65" s="576"/>
      <c r="AN65" s="576"/>
      <c r="AO65" s="576"/>
      <c r="AP65" s="576"/>
      <c r="AQ65" s="576"/>
      <c r="AR65" s="576"/>
      <c r="AS65" s="576"/>
      <c r="AT65" s="98"/>
      <c r="AU65" s="98"/>
      <c r="AV65" s="98"/>
      <c r="AW65" s="98"/>
      <c r="AX65" s="98"/>
      <c r="AY65" s="98"/>
      <c r="AZ65" s="576"/>
      <c r="BA65" s="576"/>
      <c r="BB65" s="576"/>
      <c r="BC65" s="576"/>
      <c r="BD65" s="576"/>
      <c r="BE65" s="576"/>
      <c r="BF65" s="576"/>
      <c r="BG65" s="576"/>
      <c r="BH65" s="576"/>
      <c r="BI65" s="576"/>
      <c r="BJ65" s="576"/>
      <c r="BK65" s="576"/>
      <c r="BL65" s="576"/>
      <c r="BM65" s="576"/>
      <c r="BN65" s="576"/>
      <c r="BO65" s="576"/>
      <c r="BP65" s="576"/>
      <c r="BQ65" s="576"/>
      <c r="BR65" s="576"/>
      <c r="BS65" s="576"/>
      <c r="BT65" s="576"/>
      <c r="BU65" s="576"/>
      <c r="BV65" s="576"/>
      <c r="BW65" s="576"/>
      <c r="BX65" s="577"/>
    </row>
    <row r="66" spans="1:76" x14ac:dyDescent="0.2">
      <c r="A66" s="576"/>
      <c r="B66" s="98"/>
      <c r="C66" s="98"/>
      <c r="D66" s="98"/>
      <c r="E66" s="98"/>
      <c r="F66" s="576"/>
      <c r="G66" s="576"/>
      <c r="H66" s="576"/>
      <c r="I66" s="576"/>
      <c r="J66" s="576"/>
      <c r="K66" s="576"/>
      <c r="L66" s="576"/>
      <c r="M66" s="576"/>
      <c r="N66" s="576"/>
      <c r="O66" s="576"/>
      <c r="P66" s="576"/>
      <c r="Q66" s="576"/>
      <c r="R66" s="576"/>
      <c r="S66" s="576"/>
      <c r="T66" s="576"/>
      <c r="U66" s="576"/>
      <c r="V66" s="576"/>
      <c r="W66" s="576"/>
      <c r="X66" s="576"/>
      <c r="Y66" s="576"/>
      <c r="Z66" s="576"/>
      <c r="AA66" s="576"/>
      <c r="AB66" s="576"/>
      <c r="AC66" s="576"/>
      <c r="AD66" s="576"/>
      <c r="AE66" s="576"/>
      <c r="AF66" s="576"/>
      <c r="AG66" s="576"/>
      <c r="AH66" s="576"/>
      <c r="AI66" s="576"/>
      <c r="AJ66" s="576"/>
      <c r="AK66" s="576"/>
      <c r="AL66" s="576"/>
      <c r="AM66" s="576"/>
      <c r="AN66" s="576"/>
      <c r="AO66" s="576"/>
      <c r="AP66" s="576"/>
      <c r="AQ66" s="576"/>
      <c r="AR66" s="576"/>
      <c r="AS66" s="576"/>
      <c r="AT66" s="98"/>
      <c r="AU66" s="98"/>
      <c r="AV66" s="98"/>
      <c r="AW66" s="98"/>
      <c r="AX66" s="98"/>
      <c r="AY66" s="98"/>
      <c r="AZ66" s="576"/>
      <c r="BA66" s="576"/>
      <c r="BB66" s="576"/>
      <c r="BC66" s="576"/>
      <c r="BD66" s="576"/>
      <c r="BE66" s="576"/>
      <c r="BF66" s="576"/>
      <c r="BG66" s="576"/>
      <c r="BH66" s="576"/>
      <c r="BI66" s="576"/>
      <c r="BJ66" s="576"/>
      <c r="BK66" s="576"/>
      <c r="BL66" s="576"/>
      <c r="BM66" s="576"/>
      <c r="BN66" s="576"/>
      <c r="BO66" s="576"/>
      <c r="BP66" s="576"/>
      <c r="BQ66" s="576"/>
      <c r="BR66" s="576"/>
      <c r="BS66" s="576"/>
      <c r="BT66" s="576"/>
      <c r="BU66" s="576"/>
      <c r="BV66" s="576"/>
      <c r="BW66" s="576"/>
      <c r="BX66" s="577"/>
    </row>
    <row r="67" spans="1:76" x14ac:dyDescent="0.2">
      <c r="A67" s="576"/>
      <c r="B67" s="98"/>
      <c r="C67" s="98"/>
      <c r="D67" s="98"/>
      <c r="E67" s="98"/>
      <c r="F67" s="576"/>
      <c r="G67" s="576"/>
      <c r="H67" s="576"/>
      <c r="I67" s="576"/>
      <c r="J67" s="576"/>
      <c r="K67" s="576"/>
      <c r="L67" s="576"/>
      <c r="M67" s="576"/>
      <c r="N67" s="576"/>
      <c r="O67" s="576"/>
      <c r="P67" s="576"/>
      <c r="Q67" s="576"/>
      <c r="R67" s="576"/>
      <c r="S67" s="576"/>
      <c r="T67" s="576"/>
      <c r="U67" s="576"/>
      <c r="V67" s="576"/>
      <c r="W67" s="576"/>
      <c r="X67" s="576"/>
      <c r="Y67" s="576"/>
      <c r="Z67" s="576"/>
      <c r="AA67" s="576"/>
      <c r="AB67" s="576"/>
      <c r="AC67" s="576"/>
      <c r="AD67" s="576"/>
      <c r="AE67" s="576"/>
      <c r="AF67" s="576"/>
      <c r="AG67" s="576"/>
      <c r="AH67" s="576"/>
      <c r="AI67" s="576"/>
      <c r="AJ67" s="576"/>
      <c r="AK67" s="576"/>
      <c r="AL67" s="576"/>
      <c r="AM67" s="576"/>
      <c r="AN67" s="576"/>
      <c r="AO67" s="576"/>
      <c r="AP67" s="576"/>
      <c r="AQ67" s="576"/>
      <c r="AR67" s="576"/>
      <c r="AS67" s="576"/>
      <c r="AT67" s="98"/>
      <c r="AU67" s="98"/>
      <c r="AV67" s="98"/>
      <c r="AW67" s="98"/>
      <c r="AX67" s="98"/>
      <c r="AY67" s="98"/>
      <c r="AZ67" s="576"/>
      <c r="BA67" s="576"/>
      <c r="BB67" s="576"/>
      <c r="BC67" s="576"/>
      <c r="BD67" s="576"/>
      <c r="BE67" s="576"/>
      <c r="BF67" s="576"/>
      <c r="BG67" s="576"/>
      <c r="BH67" s="576"/>
      <c r="BI67" s="576"/>
      <c r="BJ67" s="576"/>
      <c r="BK67" s="576"/>
      <c r="BL67" s="576"/>
      <c r="BM67" s="576"/>
      <c r="BN67" s="576"/>
      <c r="BO67" s="576"/>
      <c r="BP67" s="576"/>
      <c r="BQ67" s="576"/>
      <c r="BR67" s="576"/>
      <c r="BS67" s="576"/>
      <c r="BT67" s="576"/>
      <c r="BU67" s="576"/>
      <c r="BV67" s="576"/>
      <c r="BW67" s="576"/>
      <c r="BX67" s="577"/>
    </row>
    <row r="68" spans="1:76" x14ac:dyDescent="0.2">
      <c r="A68" s="576"/>
      <c r="B68" s="98"/>
      <c r="C68" s="98"/>
      <c r="D68" s="98"/>
      <c r="E68" s="98"/>
      <c r="F68" s="576"/>
      <c r="G68" s="576"/>
      <c r="H68" s="576"/>
      <c r="I68" s="576"/>
      <c r="J68" s="576"/>
      <c r="K68" s="576"/>
      <c r="L68" s="576"/>
      <c r="M68" s="576"/>
      <c r="N68" s="576"/>
      <c r="O68" s="576"/>
      <c r="P68" s="576"/>
      <c r="Q68" s="576"/>
      <c r="R68" s="576"/>
      <c r="S68" s="576"/>
      <c r="T68" s="576"/>
      <c r="U68" s="576"/>
      <c r="V68" s="576"/>
      <c r="W68" s="576"/>
      <c r="X68" s="576"/>
      <c r="Y68" s="576"/>
      <c r="Z68" s="576"/>
      <c r="AA68" s="576"/>
      <c r="AB68" s="576"/>
      <c r="AC68" s="576"/>
      <c r="AD68" s="576"/>
      <c r="AE68" s="576"/>
      <c r="AF68" s="576"/>
      <c r="AG68" s="576"/>
      <c r="AH68" s="576"/>
      <c r="AI68" s="576"/>
      <c r="AJ68" s="576"/>
      <c r="AK68" s="576"/>
      <c r="AL68" s="576"/>
      <c r="AM68" s="576"/>
      <c r="AN68" s="576"/>
      <c r="AO68" s="576"/>
      <c r="AP68" s="576"/>
      <c r="AQ68" s="576"/>
      <c r="AR68" s="576"/>
      <c r="AS68" s="576"/>
      <c r="AT68" s="98"/>
      <c r="AU68" s="98"/>
      <c r="AV68" s="98"/>
      <c r="AW68" s="98"/>
      <c r="AX68" s="98"/>
      <c r="AY68" s="98"/>
      <c r="AZ68" s="576"/>
      <c r="BA68" s="576"/>
      <c r="BB68" s="576"/>
      <c r="BC68" s="576"/>
      <c r="BD68" s="576"/>
      <c r="BE68" s="576"/>
      <c r="BF68" s="576"/>
      <c r="BG68" s="576"/>
      <c r="BH68" s="576"/>
      <c r="BI68" s="576"/>
      <c r="BJ68" s="576"/>
      <c r="BK68" s="576"/>
      <c r="BL68" s="576"/>
      <c r="BM68" s="576"/>
      <c r="BN68" s="576"/>
      <c r="BO68" s="576"/>
      <c r="BP68" s="576"/>
      <c r="BQ68" s="576"/>
      <c r="BR68" s="576"/>
      <c r="BS68" s="576"/>
      <c r="BT68" s="576"/>
      <c r="BU68" s="576"/>
      <c r="BV68" s="576"/>
      <c r="BW68" s="576"/>
      <c r="BX68" s="577"/>
    </row>
    <row r="69" spans="1:76" x14ac:dyDescent="0.2">
      <c r="A69" s="576"/>
      <c r="B69" s="98"/>
      <c r="C69" s="98"/>
      <c r="D69" s="98"/>
      <c r="E69" s="98"/>
      <c r="F69" s="576"/>
      <c r="G69" s="576"/>
      <c r="H69" s="576"/>
      <c r="I69" s="576"/>
      <c r="J69" s="576"/>
      <c r="K69" s="576"/>
      <c r="L69" s="576"/>
      <c r="M69" s="576"/>
      <c r="N69" s="576"/>
      <c r="O69" s="576"/>
      <c r="P69" s="576"/>
      <c r="Q69" s="576"/>
      <c r="R69" s="576"/>
      <c r="S69" s="576"/>
      <c r="T69" s="576"/>
      <c r="U69" s="576"/>
      <c r="V69" s="576"/>
      <c r="W69" s="576"/>
      <c r="X69" s="576"/>
      <c r="Y69" s="576"/>
      <c r="Z69" s="576"/>
      <c r="AA69" s="576"/>
      <c r="AB69" s="576"/>
      <c r="AC69" s="576"/>
      <c r="AD69" s="576"/>
      <c r="AE69" s="576"/>
      <c r="AF69" s="576"/>
      <c r="AG69" s="576"/>
      <c r="AH69" s="576"/>
      <c r="AI69" s="576"/>
      <c r="AJ69" s="576"/>
      <c r="AK69" s="576"/>
      <c r="AL69" s="576"/>
      <c r="AM69" s="576"/>
      <c r="AN69" s="576"/>
      <c r="AO69" s="576"/>
      <c r="AP69" s="576"/>
      <c r="AQ69" s="576"/>
      <c r="AR69" s="576"/>
      <c r="AS69" s="576"/>
      <c r="AT69" s="98"/>
      <c r="AU69" s="98"/>
      <c r="AV69" s="98"/>
      <c r="AW69" s="98"/>
      <c r="AX69" s="98"/>
      <c r="AY69" s="98"/>
      <c r="AZ69" s="576"/>
      <c r="BA69" s="576"/>
      <c r="BB69" s="576"/>
      <c r="BC69" s="576"/>
      <c r="BD69" s="576"/>
      <c r="BE69" s="576"/>
      <c r="BF69" s="576"/>
      <c r="BG69" s="576"/>
      <c r="BH69" s="576"/>
      <c r="BI69" s="576"/>
      <c r="BJ69" s="576"/>
      <c r="BK69" s="576"/>
      <c r="BL69" s="576"/>
      <c r="BM69" s="576"/>
      <c r="BN69" s="576"/>
      <c r="BO69" s="576"/>
      <c r="BP69" s="576"/>
      <c r="BQ69" s="576"/>
      <c r="BR69" s="576"/>
      <c r="BS69" s="576"/>
      <c r="BT69" s="576"/>
      <c r="BU69" s="576"/>
      <c r="BV69" s="576"/>
      <c r="BW69" s="576"/>
      <c r="BX69" s="577"/>
    </row>
    <row r="70" spans="1:76" x14ac:dyDescent="0.2">
      <c r="A70" s="576"/>
      <c r="B70" s="98"/>
      <c r="C70" s="98"/>
      <c r="D70" s="98"/>
      <c r="E70" s="98"/>
      <c r="F70" s="576"/>
      <c r="G70" s="576"/>
      <c r="H70" s="576"/>
      <c r="I70" s="576"/>
      <c r="J70" s="576"/>
      <c r="K70" s="576"/>
      <c r="L70" s="576"/>
      <c r="M70" s="576"/>
      <c r="N70" s="576"/>
      <c r="O70" s="576"/>
      <c r="P70" s="576"/>
      <c r="Q70" s="576"/>
      <c r="R70" s="576"/>
      <c r="S70" s="576"/>
      <c r="T70" s="576"/>
      <c r="U70" s="576"/>
      <c r="V70" s="576"/>
      <c r="W70" s="576"/>
      <c r="X70" s="576"/>
      <c r="Y70" s="576"/>
      <c r="Z70" s="576"/>
      <c r="AA70" s="576"/>
      <c r="AB70" s="576"/>
      <c r="AC70" s="576"/>
      <c r="AD70" s="576"/>
      <c r="AE70" s="576"/>
      <c r="AF70" s="576"/>
      <c r="AG70" s="576"/>
      <c r="AH70" s="576"/>
      <c r="AI70" s="576"/>
      <c r="AJ70" s="576"/>
      <c r="AK70" s="576"/>
      <c r="AL70" s="576"/>
      <c r="AM70" s="576"/>
      <c r="AN70" s="576"/>
      <c r="AO70" s="576"/>
      <c r="AP70" s="576"/>
      <c r="AQ70" s="576"/>
      <c r="AR70" s="576"/>
      <c r="AS70" s="576"/>
      <c r="AT70" s="98"/>
      <c r="AU70" s="98"/>
      <c r="AV70" s="98"/>
      <c r="AW70" s="98"/>
      <c r="AX70" s="98"/>
      <c r="AY70" s="98"/>
      <c r="AZ70" s="576"/>
      <c r="BA70" s="576"/>
      <c r="BB70" s="576"/>
      <c r="BC70" s="576"/>
      <c r="BD70" s="576"/>
      <c r="BE70" s="576"/>
      <c r="BF70" s="576"/>
      <c r="BG70" s="576"/>
      <c r="BH70" s="576"/>
      <c r="BI70" s="576"/>
      <c r="BJ70" s="576"/>
      <c r="BK70" s="576"/>
      <c r="BL70" s="576"/>
      <c r="BM70" s="576"/>
      <c r="BN70" s="576"/>
      <c r="BO70" s="576"/>
      <c r="BP70" s="576"/>
      <c r="BQ70" s="576"/>
      <c r="BR70" s="576"/>
      <c r="BS70" s="576"/>
      <c r="BT70" s="576"/>
      <c r="BU70" s="576"/>
      <c r="BV70" s="576"/>
      <c r="BW70" s="576"/>
      <c r="BX70" s="577"/>
    </row>
    <row r="71" spans="1:76" x14ac:dyDescent="0.2">
      <c r="A71" s="576"/>
      <c r="B71" s="98"/>
      <c r="C71" s="98"/>
      <c r="D71" s="98"/>
      <c r="E71" s="98"/>
      <c r="F71" s="576"/>
      <c r="G71" s="576"/>
      <c r="H71" s="576"/>
      <c r="I71" s="576"/>
      <c r="J71" s="576"/>
      <c r="K71" s="576"/>
      <c r="L71" s="576"/>
      <c r="M71" s="576"/>
      <c r="N71" s="576"/>
      <c r="O71" s="576"/>
      <c r="P71" s="576"/>
      <c r="Q71" s="576"/>
      <c r="R71" s="576"/>
      <c r="S71" s="576"/>
      <c r="T71" s="576"/>
      <c r="U71" s="576"/>
      <c r="V71" s="576"/>
      <c r="W71" s="576"/>
      <c r="X71" s="576"/>
      <c r="Y71" s="576"/>
      <c r="Z71" s="576"/>
      <c r="AA71" s="576"/>
      <c r="AB71" s="576"/>
      <c r="AC71" s="576"/>
      <c r="AD71" s="576"/>
      <c r="AE71" s="576"/>
      <c r="AF71" s="576"/>
      <c r="AG71" s="576"/>
      <c r="AH71" s="576"/>
      <c r="AI71" s="576"/>
      <c r="AJ71" s="576"/>
      <c r="AK71" s="576"/>
      <c r="AL71" s="576"/>
      <c r="AM71" s="576"/>
      <c r="AN71" s="576"/>
      <c r="AO71" s="576"/>
      <c r="AP71" s="576"/>
      <c r="AQ71" s="576"/>
      <c r="AR71" s="576"/>
      <c r="AS71" s="576"/>
      <c r="AT71" s="98"/>
      <c r="AU71" s="98"/>
      <c r="AV71" s="98"/>
      <c r="AW71" s="98"/>
      <c r="AX71" s="98"/>
      <c r="AY71" s="98"/>
      <c r="AZ71" s="576"/>
      <c r="BA71" s="576"/>
      <c r="BB71" s="576"/>
      <c r="BC71" s="576"/>
      <c r="BD71" s="576"/>
      <c r="BE71" s="576"/>
      <c r="BF71" s="576"/>
      <c r="BG71" s="576"/>
      <c r="BH71" s="576"/>
      <c r="BI71" s="576"/>
      <c r="BJ71" s="576"/>
      <c r="BK71" s="576"/>
      <c r="BL71" s="576"/>
      <c r="BM71" s="576"/>
      <c r="BN71" s="576"/>
      <c r="BO71" s="576"/>
      <c r="BP71" s="576"/>
      <c r="BQ71" s="576"/>
      <c r="BR71" s="576"/>
      <c r="BS71" s="576"/>
      <c r="BT71" s="576"/>
      <c r="BU71" s="576"/>
      <c r="BV71" s="576"/>
      <c r="BW71" s="576"/>
      <c r="BX71" s="577"/>
    </row>
    <row r="72" spans="1:76" x14ac:dyDescent="0.2">
      <c r="A72" s="576"/>
      <c r="B72" s="98"/>
      <c r="C72" s="98"/>
      <c r="D72" s="98"/>
      <c r="E72" s="98"/>
      <c r="F72" s="576"/>
      <c r="G72" s="576"/>
      <c r="H72" s="576"/>
      <c r="I72" s="576"/>
      <c r="J72" s="576"/>
      <c r="K72" s="576"/>
      <c r="L72" s="576"/>
      <c r="M72" s="576"/>
      <c r="N72" s="576"/>
      <c r="O72" s="576"/>
      <c r="P72" s="576"/>
      <c r="Q72" s="576"/>
      <c r="R72" s="576"/>
      <c r="S72" s="576"/>
      <c r="T72" s="576"/>
      <c r="U72" s="576"/>
      <c r="V72" s="576"/>
      <c r="W72" s="576"/>
      <c r="X72" s="576"/>
      <c r="Y72" s="576"/>
      <c r="Z72" s="576"/>
      <c r="AA72" s="576"/>
      <c r="AB72" s="576"/>
      <c r="AC72" s="576"/>
      <c r="AD72" s="576"/>
      <c r="AE72" s="576"/>
      <c r="AF72" s="576"/>
      <c r="AG72" s="576"/>
      <c r="AH72" s="576"/>
      <c r="AI72" s="576"/>
      <c r="AJ72" s="576"/>
      <c r="AK72" s="576"/>
      <c r="AL72" s="576"/>
      <c r="AM72" s="576"/>
      <c r="AN72" s="576"/>
      <c r="AO72" s="576"/>
      <c r="AP72" s="576"/>
      <c r="AQ72" s="576"/>
      <c r="AR72" s="576"/>
      <c r="AS72" s="576"/>
      <c r="AT72" s="98"/>
      <c r="AU72" s="98"/>
      <c r="AV72" s="98"/>
      <c r="AW72" s="98"/>
      <c r="AX72" s="98"/>
      <c r="AY72" s="98"/>
      <c r="AZ72" s="576"/>
      <c r="BA72" s="576"/>
      <c r="BB72" s="576"/>
      <c r="BC72" s="576"/>
      <c r="BD72" s="576"/>
      <c r="BE72" s="576"/>
      <c r="BF72" s="576"/>
      <c r="BG72" s="576"/>
      <c r="BH72" s="576"/>
      <c r="BI72" s="576"/>
      <c r="BJ72" s="576"/>
      <c r="BK72" s="576"/>
      <c r="BL72" s="576"/>
      <c r="BM72" s="576"/>
      <c r="BN72" s="576"/>
      <c r="BO72" s="576"/>
      <c r="BP72" s="576"/>
      <c r="BQ72" s="576"/>
      <c r="BR72" s="576"/>
      <c r="BS72" s="576"/>
      <c r="BT72" s="576"/>
      <c r="BU72" s="576"/>
      <c r="BV72" s="576"/>
      <c r="BW72" s="576"/>
      <c r="BX72" s="577"/>
    </row>
    <row r="73" spans="1:76" x14ac:dyDescent="0.2">
      <c r="A73" s="576"/>
      <c r="B73" s="98"/>
      <c r="C73" s="98"/>
      <c r="D73" s="98"/>
      <c r="E73" s="98"/>
      <c r="F73" s="576"/>
      <c r="G73" s="576"/>
      <c r="H73" s="576"/>
      <c r="I73" s="576"/>
      <c r="J73" s="576"/>
      <c r="K73" s="576"/>
      <c r="L73" s="576"/>
      <c r="M73" s="576"/>
      <c r="N73" s="576"/>
      <c r="O73" s="576"/>
      <c r="P73" s="576"/>
      <c r="Q73" s="576"/>
      <c r="R73" s="576"/>
      <c r="S73" s="576"/>
      <c r="T73" s="576"/>
      <c r="U73" s="576"/>
      <c r="V73" s="576"/>
      <c r="W73" s="576"/>
      <c r="X73" s="576"/>
      <c r="Y73" s="576"/>
      <c r="Z73" s="576"/>
      <c r="AA73" s="576"/>
      <c r="AB73" s="576"/>
      <c r="AC73" s="576"/>
      <c r="AD73" s="576"/>
      <c r="AE73" s="576"/>
      <c r="AF73" s="576"/>
      <c r="AG73" s="576"/>
      <c r="AH73" s="576"/>
      <c r="AI73" s="576"/>
      <c r="AJ73" s="576"/>
      <c r="AK73" s="576"/>
      <c r="AL73" s="576"/>
      <c r="AM73" s="576"/>
      <c r="AN73" s="576"/>
      <c r="AO73" s="576"/>
      <c r="AP73" s="576"/>
      <c r="AQ73" s="576"/>
      <c r="AR73" s="576"/>
      <c r="AS73" s="576"/>
      <c r="AT73" s="98"/>
      <c r="AU73" s="98"/>
      <c r="AV73" s="98"/>
      <c r="AW73" s="98"/>
      <c r="AX73" s="98"/>
      <c r="AY73" s="98"/>
      <c r="AZ73" s="576"/>
      <c r="BA73" s="576"/>
      <c r="BB73" s="576"/>
      <c r="BC73" s="576"/>
      <c r="BD73" s="576"/>
      <c r="BE73" s="576"/>
      <c r="BF73" s="576"/>
      <c r="BG73" s="576"/>
      <c r="BH73" s="576"/>
      <c r="BI73" s="576"/>
      <c r="BJ73" s="576"/>
      <c r="BK73" s="576"/>
      <c r="BL73" s="576"/>
      <c r="BM73" s="576"/>
      <c r="BN73" s="576"/>
      <c r="BO73" s="576"/>
      <c r="BP73" s="576"/>
      <c r="BQ73" s="576"/>
      <c r="BR73" s="576"/>
      <c r="BS73" s="576"/>
      <c r="BT73" s="576"/>
      <c r="BU73" s="576"/>
      <c r="BV73" s="576"/>
      <c r="BW73" s="576"/>
      <c r="BX73" s="577"/>
    </row>
    <row r="74" spans="1:76" x14ac:dyDescent="0.2">
      <c r="A74" s="576"/>
      <c r="B74" s="98"/>
      <c r="C74" s="98"/>
      <c r="D74" s="98"/>
      <c r="E74" s="98"/>
      <c r="F74" s="576"/>
      <c r="G74" s="576"/>
      <c r="H74" s="576"/>
      <c r="I74" s="576"/>
      <c r="J74" s="576"/>
      <c r="K74" s="576"/>
      <c r="L74" s="576"/>
      <c r="M74" s="576"/>
      <c r="N74" s="576"/>
      <c r="O74" s="576"/>
      <c r="P74" s="576"/>
      <c r="Q74" s="576"/>
      <c r="R74" s="576"/>
      <c r="S74" s="576"/>
      <c r="T74" s="576"/>
      <c r="U74" s="576"/>
      <c r="V74" s="576"/>
      <c r="W74" s="576"/>
      <c r="X74" s="576"/>
      <c r="Y74" s="576"/>
      <c r="Z74" s="576"/>
      <c r="AA74" s="576"/>
      <c r="AB74" s="576"/>
      <c r="AC74" s="576"/>
      <c r="AD74" s="576"/>
      <c r="AE74" s="576"/>
      <c r="AF74" s="576"/>
      <c r="AG74" s="576"/>
      <c r="AH74" s="576"/>
      <c r="AI74" s="576"/>
      <c r="AJ74" s="576"/>
      <c r="AK74" s="576"/>
      <c r="AL74" s="576"/>
      <c r="AM74" s="576"/>
      <c r="AN74" s="576"/>
      <c r="AO74" s="576"/>
      <c r="AP74" s="576"/>
      <c r="AQ74" s="576"/>
      <c r="AR74" s="576"/>
      <c r="AS74" s="576"/>
      <c r="AT74" s="98"/>
      <c r="AU74" s="98"/>
      <c r="AV74" s="98"/>
      <c r="AW74" s="98"/>
      <c r="AX74" s="98"/>
      <c r="AY74" s="98"/>
      <c r="AZ74" s="576"/>
      <c r="BA74" s="576"/>
      <c r="BB74" s="576"/>
      <c r="BC74" s="576"/>
      <c r="BD74" s="576"/>
      <c r="BE74" s="576"/>
      <c r="BF74" s="576"/>
      <c r="BG74" s="576"/>
      <c r="BH74" s="576"/>
      <c r="BI74" s="576"/>
      <c r="BJ74" s="576"/>
      <c r="BK74" s="576"/>
      <c r="BL74" s="576"/>
      <c r="BM74" s="576"/>
      <c r="BN74" s="576"/>
      <c r="BO74" s="576"/>
      <c r="BP74" s="576"/>
      <c r="BQ74" s="576"/>
      <c r="BR74" s="576"/>
      <c r="BS74" s="576"/>
      <c r="BT74" s="576"/>
      <c r="BU74" s="576"/>
      <c r="BV74" s="576"/>
      <c r="BW74" s="576"/>
      <c r="BX74" s="577"/>
    </row>
    <row r="75" spans="1:76" x14ac:dyDescent="0.2">
      <c r="A75" s="576"/>
      <c r="B75" s="98"/>
      <c r="C75" s="98"/>
      <c r="D75" s="98"/>
      <c r="E75" s="98"/>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98"/>
      <c r="AU75" s="98"/>
      <c r="AV75" s="98"/>
      <c r="AW75" s="98"/>
      <c r="AX75" s="98"/>
      <c r="AY75" s="98"/>
      <c r="AZ75" s="576"/>
      <c r="BA75" s="576"/>
      <c r="BB75" s="576"/>
      <c r="BC75" s="576"/>
      <c r="BD75" s="576"/>
      <c r="BE75" s="576"/>
      <c r="BF75" s="576"/>
      <c r="BG75" s="576"/>
      <c r="BH75" s="576"/>
      <c r="BI75" s="576"/>
      <c r="BJ75" s="576"/>
      <c r="BK75" s="576"/>
      <c r="BL75" s="576"/>
      <c r="BM75" s="576"/>
      <c r="BN75" s="576"/>
      <c r="BO75" s="576"/>
      <c r="BP75" s="576"/>
      <c r="BQ75" s="576"/>
      <c r="BR75" s="576"/>
      <c r="BS75" s="576"/>
      <c r="BT75" s="576"/>
      <c r="BU75" s="576"/>
      <c r="BV75" s="576"/>
      <c r="BW75" s="576"/>
      <c r="BX75" s="577"/>
    </row>
    <row r="76" spans="1:76" x14ac:dyDescent="0.2">
      <c r="A76" s="576"/>
      <c r="B76" s="98"/>
      <c r="C76" s="98"/>
      <c r="D76" s="98"/>
      <c r="E76" s="98"/>
      <c r="F76" s="576"/>
      <c r="G76" s="576"/>
      <c r="H76" s="576"/>
      <c r="I76" s="576"/>
      <c r="J76" s="576"/>
      <c r="K76" s="576"/>
      <c r="L76" s="576"/>
      <c r="M76" s="576"/>
      <c r="N76" s="576"/>
      <c r="O76" s="576"/>
      <c r="P76" s="576"/>
      <c r="Q76" s="576"/>
      <c r="R76" s="576"/>
      <c r="S76" s="576"/>
      <c r="T76" s="576"/>
      <c r="U76" s="576"/>
      <c r="V76" s="576"/>
      <c r="W76" s="576"/>
      <c r="X76" s="576"/>
      <c r="Y76" s="576"/>
      <c r="Z76" s="576"/>
      <c r="AA76" s="576"/>
      <c r="AB76" s="576"/>
      <c r="AC76" s="576"/>
      <c r="AD76" s="576"/>
      <c r="AE76" s="576"/>
      <c r="AF76" s="576"/>
      <c r="AG76" s="576"/>
      <c r="AH76" s="576"/>
      <c r="AI76" s="576"/>
      <c r="AJ76" s="576"/>
      <c r="AK76" s="576"/>
      <c r="AL76" s="576"/>
      <c r="AM76" s="576"/>
      <c r="AN76" s="576"/>
      <c r="AO76" s="576"/>
      <c r="AP76" s="576"/>
      <c r="AQ76" s="576"/>
      <c r="AR76" s="576"/>
      <c r="AS76" s="576"/>
      <c r="AT76" s="98"/>
      <c r="AU76" s="98"/>
      <c r="AV76" s="98"/>
      <c r="AW76" s="98"/>
      <c r="AX76" s="98"/>
      <c r="AY76" s="98"/>
      <c r="AZ76" s="576"/>
      <c r="BA76" s="576"/>
      <c r="BB76" s="576"/>
      <c r="BC76" s="576"/>
      <c r="BD76" s="576"/>
      <c r="BE76" s="576"/>
      <c r="BF76" s="576"/>
      <c r="BG76" s="576"/>
      <c r="BH76" s="576"/>
      <c r="BI76" s="576"/>
      <c r="BJ76" s="576"/>
      <c r="BK76" s="576"/>
      <c r="BL76" s="576"/>
      <c r="BM76" s="576"/>
      <c r="BN76" s="576"/>
      <c r="BO76" s="576"/>
      <c r="BP76" s="576"/>
      <c r="BQ76" s="576"/>
      <c r="BR76" s="576"/>
      <c r="BS76" s="576"/>
      <c r="BT76" s="576"/>
      <c r="BU76" s="576"/>
      <c r="BV76" s="576"/>
      <c r="BW76" s="576"/>
      <c r="BX76" s="577"/>
    </row>
    <row r="77" spans="1:76" x14ac:dyDescent="0.2">
      <c r="A77" s="576"/>
      <c r="B77" s="98"/>
      <c r="C77" s="98"/>
      <c r="D77" s="98"/>
      <c r="E77" s="98"/>
      <c r="F77" s="576"/>
      <c r="G77" s="576"/>
      <c r="H77" s="576"/>
      <c r="I77" s="576"/>
      <c r="J77" s="576"/>
      <c r="K77" s="576"/>
      <c r="L77" s="576"/>
      <c r="M77" s="576"/>
      <c r="N77" s="576"/>
      <c r="O77" s="576"/>
      <c r="P77" s="576"/>
      <c r="Q77" s="576"/>
      <c r="R77" s="576"/>
      <c r="S77" s="576"/>
      <c r="T77" s="576"/>
      <c r="U77" s="576"/>
      <c r="V77" s="576"/>
      <c r="W77" s="576"/>
      <c r="X77" s="576"/>
      <c r="Y77" s="576"/>
      <c r="Z77" s="576"/>
      <c r="AA77" s="576"/>
      <c r="AB77" s="576"/>
      <c r="AC77" s="576"/>
      <c r="AD77" s="576"/>
      <c r="AE77" s="576"/>
      <c r="AF77" s="576"/>
      <c r="AG77" s="576"/>
      <c r="AH77" s="576"/>
      <c r="AI77" s="576"/>
      <c r="AJ77" s="576"/>
      <c r="AK77" s="576"/>
      <c r="AL77" s="576"/>
      <c r="AM77" s="576"/>
      <c r="AN77" s="576"/>
      <c r="AO77" s="576"/>
      <c r="AP77" s="576"/>
      <c r="AQ77" s="576"/>
      <c r="AR77" s="576"/>
      <c r="AS77" s="576"/>
      <c r="AT77" s="98"/>
      <c r="AU77" s="98"/>
      <c r="AV77" s="98"/>
      <c r="AW77" s="98"/>
      <c r="AX77" s="98"/>
      <c r="AY77" s="98"/>
      <c r="AZ77" s="576"/>
      <c r="BA77" s="576"/>
      <c r="BB77" s="576"/>
      <c r="BC77" s="576"/>
      <c r="BD77" s="576"/>
      <c r="BE77" s="576"/>
      <c r="BF77" s="576"/>
      <c r="BG77" s="576"/>
      <c r="BH77" s="576"/>
      <c r="BI77" s="576"/>
      <c r="BJ77" s="576"/>
      <c r="BK77" s="576"/>
      <c r="BL77" s="576"/>
      <c r="BM77" s="576"/>
      <c r="BN77" s="576"/>
      <c r="BO77" s="576"/>
      <c r="BP77" s="576"/>
      <c r="BQ77" s="576"/>
      <c r="BR77" s="576"/>
      <c r="BS77" s="576"/>
      <c r="BT77" s="576"/>
      <c r="BU77" s="576"/>
      <c r="BV77" s="576"/>
      <c r="BW77" s="576"/>
      <c r="BX77" s="577"/>
    </row>
    <row r="78" spans="1:76" x14ac:dyDescent="0.2">
      <c r="A78" s="576"/>
      <c r="B78" s="98"/>
      <c r="C78" s="98"/>
      <c r="D78" s="98"/>
      <c r="E78" s="98"/>
      <c r="F78" s="576"/>
      <c r="G78" s="576"/>
      <c r="H78" s="576"/>
      <c r="I78" s="576"/>
      <c r="J78" s="576"/>
      <c r="K78" s="576"/>
      <c r="L78" s="576"/>
      <c r="M78" s="576"/>
      <c r="N78" s="576"/>
      <c r="O78" s="576"/>
      <c r="P78" s="576"/>
      <c r="Q78" s="576"/>
      <c r="R78" s="576"/>
      <c r="S78" s="576"/>
      <c r="T78" s="576"/>
      <c r="U78" s="576"/>
      <c r="V78" s="576"/>
      <c r="W78" s="576"/>
      <c r="X78" s="576"/>
      <c r="Y78" s="576"/>
      <c r="Z78" s="576"/>
      <c r="AA78" s="576"/>
      <c r="AB78" s="576"/>
      <c r="AC78" s="576"/>
      <c r="AD78" s="576"/>
      <c r="AE78" s="576"/>
      <c r="AF78" s="576"/>
      <c r="AG78" s="576"/>
      <c r="AH78" s="576"/>
      <c r="AI78" s="576"/>
      <c r="AJ78" s="576"/>
      <c r="AK78" s="576"/>
      <c r="AL78" s="576"/>
      <c r="AM78" s="576"/>
      <c r="AN78" s="576"/>
      <c r="AO78" s="576"/>
      <c r="AP78" s="576"/>
      <c r="AQ78" s="576"/>
      <c r="AR78" s="576"/>
      <c r="AS78" s="576"/>
      <c r="AT78" s="98"/>
      <c r="AU78" s="98"/>
      <c r="AV78" s="98"/>
      <c r="AW78" s="98"/>
      <c r="AX78" s="98"/>
      <c r="AY78" s="98"/>
      <c r="AZ78" s="576"/>
      <c r="BA78" s="576"/>
      <c r="BB78" s="576"/>
      <c r="BC78" s="576"/>
      <c r="BD78" s="576"/>
      <c r="BE78" s="576"/>
      <c r="BF78" s="576"/>
      <c r="BG78" s="576"/>
      <c r="BH78" s="576"/>
      <c r="BI78" s="576"/>
      <c r="BJ78" s="576"/>
      <c r="BK78" s="576"/>
      <c r="BL78" s="576"/>
      <c r="BM78" s="576"/>
      <c r="BN78" s="576"/>
      <c r="BO78" s="576"/>
      <c r="BP78" s="576"/>
      <c r="BQ78" s="576"/>
      <c r="BR78" s="576"/>
      <c r="BS78" s="576"/>
      <c r="BT78" s="576"/>
      <c r="BU78" s="576"/>
      <c r="BV78" s="576"/>
      <c r="BW78" s="576"/>
      <c r="BX78" s="577"/>
    </row>
    <row r="79" spans="1:76" x14ac:dyDescent="0.2">
      <c r="A79" s="576"/>
      <c r="B79" s="98"/>
      <c r="C79" s="98"/>
      <c r="D79" s="98"/>
      <c r="E79" s="98"/>
      <c r="F79" s="576"/>
      <c r="G79" s="576"/>
      <c r="H79" s="576"/>
      <c r="I79" s="576"/>
      <c r="J79" s="576"/>
      <c r="K79" s="576"/>
      <c r="L79" s="576"/>
      <c r="M79" s="576"/>
      <c r="N79" s="576"/>
      <c r="O79" s="576"/>
      <c r="P79" s="576"/>
      <c r="Q79" s="576"/>
      <c r="R79" s="576"/>
      <c r="S79" s="576"/>
      <c r="T79" s="576"/>
      <c r="U79" s="576"/>
      <c r="V79" s="576"/>
      <c r="W79" s="576"/>
      <c r="X79" s="576"/>
      <c r="Y79" s="576"/>
      <c r="Z79" s="576"/>
      <c r="AA79" s="576"/>
      <c r="AB79" s="576"/>
      <c r="AC79" s="576"/>
      <c r="AD79" s="576"/>
      <c r="AE79" s="576"/>
      <c r="AF79" s="576"/>
      <c r="AG79" s="576"/>
      <c r="AH79" s="576"/>
      <c r="AI79" s="576"/>
      <c r="AJ79" s="576"/>
      <c r="AK79" s="576"/>
      <c r="AL79" s="576"/>
      <c r="AM79" s="576"/>
      <c r="AN79" s="576"/>
      <c r="AO79" s="576"/>
      <c r="AP79" s="576"/>
      <c r="AQ79" s="576"/>
      <c r="AR79" s="576"/>
      <c r="AS79" s="576"/>
      <c r="AT79" s="98"/>
      <c r="AU79" s="98"/>
      <c r="AV79" s="98"/>
      <c r="AW79" s="98"/>
      <c r="AX79" s="98"/>
      <c r="AY79" s="98"/>
      <c r="AZ79" s="576"/>
      <c r="BA79" s="576"/>
      <c r="BB79" s="576"/>
      <c r="BC79" s="576"/>
      <c r="BD79" s="576"/>
      <c r="BE79" s="576"/>
      <c r="BF79" s="576"/>
      <c r="BG79" s="576"/>
      <c r="BH79" s="576"/>
      <c r="BI79" s="576"/>
      <c r="BJ79" s="576"/>
      <c r="BK79" s="576"/>
      <c r="BL79" s="576"/>
      <c r="BM79" s="576"/>
      <c r="BN79" s="576"/>
      <c r="BO79" s="576"/>
      <c r="BP79" s="576"/>
      <c r="BQ79" s="576"/>
      <c r="BR79" s="576"/>
      <c r="BS79" s="576"/>
      <c r="BT79" s="576"/>
      <c r="BU79" s="576"/>
      <c r="BV79" s="576"/>
      <c r="BW79" s="576"/>
      <c r="BX79" s="577"/>
    </row>
    <row r="80" spans="1:76" x14ac:dyDescent="0.2">
      <c r="A80" s="579"/>
      <c r="B80" s="100"/>
      <c r="C80" s="100"/>
      <c r="D80" s="100"/>
      <c r="E80" s="100"/>
      <c r="F80" s="579"/>
      <c r="G80" s="579"/>
      <c r="H80" s="579"/>
      <c r="I80" s="579"/>
      <c r="J80" s="579"/>
      <c r="K80" s="579"/>
      <c r="L80" s="579"/>
      <c r="M80" s="579"/>
      <c r="N80" s="579"/>
      <c r="O80" s="579"/>
      <c r="P80" s="579"/>
      <c r="Q80" s="579"/>
      <c r="R80" s="579"/>
      <c r="S80" s="579"/>
      <c r="T80" s="579"/>
      <c r="U80" s="579"/>
      <c r="V80" s="579"/>
      <c r="W80" s="579"/>
      <c r="X80" s="579"/>
      <c r="Y80" s="579"/>
      <c r="Z80" s="579"/>
      <c r="AA80" s="579"/>
      <c r="AB80" s="579"/>
      <c r="AC80" s="579"/>
      <c r="AD80" s="579"/>
      <c r="AE80" s="579"/>
      <c r="AF80" s="579"/>
      <c r="AG80" s="579"/>
      <c r="AH80" s="579"/>
      <c r="AI80" s="579"/>
      <c r="AJ80" s="579"/>
      <c r="AK80" s="579"/>
      <c r="AL80" s="579"/>
      <c r="AM80" s="579"/>
      <c r="AN80" s="579"/>
      <c r="AO80" s="579"/>
      <c r="AP80" s="579"/>
      <c r="AQ80" s="579"/>
      <c r="AR80" s="579"/>
      <c r="AS80" s="579"/>
      <c r="AT80" s="100"/>
      <c r="AU80" s="100"/>
      <c r="AV80" s="100"/>
      <c r="AW80" s="100"/>
      <c r="AX80" s="100"/>
      <c r="AY80" s="100"/>
      <c r="AZ80" s="579"/>
      <c r="BA80" s="579"/>
      <c r="BB80" s="579"/>
      <c r="BC80" s="579"/>
      <c r="BD80" s="579"/>
      <c r="BE80" s="579"/>
      <c r="BF80" s="579"/>
      <c r="BG80" s="579"/>
      <c r="BH80" s="579"/>
      <c r="BI80" s="579"/>
      <c r="BJ80" s="579"/>
      <c r="BK80" s="579"/>
      <c r="BL80" s="579"/>
      <c r="BM80" s="579"/>
      <c r="BN80" s="579"/>
      <c r="BO80" s="579"/>
      <c r="BP80" s="579"/>
      <c r="BQ80" s="579"/>
      <c r="BR80" s="579"/>
      <c r="BS80" s="579"/>
      <c r="BT80" s="579"/>
      <c r="BU80" s="579"/>
      <c r="BV80" s="579"/>
      <c r="BW80" s="579"/>
      <c r="BX80" s="580"/>
    </row>
  </sheetData>
  <sheetProtection algorithmName="SHA-512" hashValue="JD9a9Zo0rxgJgTSVCNv6risz5uA8kVt0dk+ANWjJZ/fbk1dnRMGDGftKk9YgZgerVmgpWktRA/qIYWstg1cfpQ==" saltValue="k1JcCexjl1jiNrTzMZubZw==" spinCount="100000" sheet="1" selectLockedCells="1"/>
  <dataConsolidate link="1"/>
  <mergeCells count="122">
    <mergeCell ref="AR3:AS3"/>
    <mergeCell ref="V3:W3"/>
    <mergeCell ref="X3:Y3"/>
    <mergeCell ref="Z3:AA3"/>
    <mergeCell ref="AB3:AC3"/>
    <mergeCell ref="AD3:AE3"/>
    <mergeCell ref="AF3:AG3"/>
    <mergeCell ref="J2:K2"/>
    <mergeCell ref="L2:M2"/>
    <mergeCell ref="N2:O2"/>
    <mergeCell ref="P2:Q2"/>
    <mergeCell ref="AP2:AQ2"/>
    <mergeCell ref="AR2:AS2"/>
    <mergeCell ref="J3:K3"/>
    <mergeCell ref="L3:M3"/>
    <mergeCell ref="N3:O3"/>
    <mergeCell ref="P3:Q3"/>
    <mergeCell ref="R3:S3"/>
    <mergeCell ref="T3:U3"/>
    <mergeCell ref="AD2:AE2"/>
    <mergeCell ref="AF2:AG2"/>
    <mergeCell ref="AH2:AI2"/>
    <mergeCell ref="AJ2:AK2"/>
    <mergeCell ref="AL2:AM2"/>
    <mergeCell ref="AH3:AI3"/>
    <mergeCell ref="AJ3:AK3"/>
    <mergeCell ref="AL3:AM3"/>
    <mergeCell ref="Z2:AA2"/>
    <mergeCell ref="AB2:AC2"/>
    <mergeCell ref="F2:G2"/>
    <mergeCell ref="H2:I2"/>
    <mergeCell ref="AN3:AO3"/>
    <mergeCell ref="AP3:AQ3"/>
    <mergeCell ref="F3:G3"/>
    <mergeCell ref="H3:I3"/>
    <mergeCell ref="AN2:AO2"/>
    <mergeCell ref="R2:S2"/>
    <mergeCell ref="T2:U2"/>
    <mergeCell ref="V2:W2"/>
    <mergeCell ref="X2:Y2"/>
    <mergeCell ref="AP13:AQ13"/>
    <mergeCell ref="AR13:AS13"/>
    <mergeCell ref="AF13:AG13"/>
    <mergeCell ref="AH13:AI13"/>
    <mergeCell ref="AJ13:AK13"/>
    <mergeCell ref="AL13:AM13"/>
    <mergeCell ref="F4:G4"/>
    <mergeCell ref="H4:I4"/>
    <mergeCell ref="J4:K4"/>
    <mergeCell ref="L4:M4"/>
    <mergeCell ref="N4:O4"/>
    <mergeCell ref="P4:Q4"/>
    <mergeCell ref="AP4:AQ4"/>
    <mergeCell ref="AR4:AS4"/>
    <mergeCell ref="AD4:AE4"/>
    <mergeCell ref="AF4:AG4"/>
    <mergeCell ref="AH4:AI4"/>
    <mergeCell ref="AJ4:AK4"/>
    <mergeCell ref="AL4:AM4"/>
    <mergeCell ref="AN4:AO4"/>
    <mergeCell ref="R4:S4"/>
    <mergeCell ref="T4:U4"/>
    <mergeCell ref="V4:W4"/>
    <mergeCell ref="X4:Y4"/>
    <mergeCell ref="Z4:AA4"/>
    <mergeCell ref="AB4:AC4"/>
    <mergeCell ref="F14:G14"/>
    <mergeCell ref="H14:I14"/>
    <mergeCell ref="J14:K14"/>
    <mergeCell ref="L14:M14"/>
    <mergeCell ref="N14:O14"/>
    <mergeCell ref="P14:Q14"/>
    <mergeCell ref="R14:S14"/>
    <mergeCell ref="T14:U14"/>
    <mergeCell ref="F13:G13"/>
    <mergeCell ref="H13:I13"/>
    <mergeCell ref="AD13:AE13"/>
    <mergeCell ref="J13:K13"/>
    <mergeCell ref="L13:M13"/>
    <mergeCell ref="N13:O13"/>
    <mergeCell ref="P13:Q13"/>
    <mergeCell ref="AN13:AO13"/>
    <mergeCell ref="R13:S13"/>
    <mergeCell ref="T13:U13"/>
    <mergeCell ref="V13:W13"/>
    <mergeCell ref="X13:Y13"/>
    <mergeCell ref="Z13:AA13"/>
    <mergeCell ref="AB13:AC13"/>
    <mergeCell ref="AL14:AM14"/>
    <mergeCell ref="AN14:AO14"/>
    <mergeCell ref="AP14:AQ14"/>
    <mergeCell ref="AR14:AS14"/>
    <mergeCell ref="V14:W14"/>
    <mergeCell ref="X14:Y14"/>
    <mergeCell ref="Z14:AA14"/>
    <mergeCell ref="AB14:AC14"/>
    <mergeCell ref="AD14:AE14"/>
    <mergeCell ref="AF14:AG14"/>
    <mergeCell ref="AP15:AQ15"/>
    <mergeCell ref="AR15:AS15"/>
    <mergeCell ref="C9:C10"/>
    <mergeCell ref="C11:C12"/>
    <mergeCell ref="AD15:AE15"/>
    <mergeCell ref="AF15:AG15"/>
    <mergeCell ref="AH15:AI15"/>
    <mergeCell ref="AJ15:AK15"/>
    <mergeCell ref="AL15:AM15"/>
    <mergeCell ref="AN15:AO15"/>
    <mergeCell ref="R15:S15"/>
    <mergeCell ref="T15:U15"/>
    <mergeCell ref="V15:W15"/>
    <mergeCell ref="X15:Y15"/>
    <mergeCell ref="Z15:AA15"/>
    <mergeCell ref="AB15:AC15"/>
    <mergeCell ref="F15:G15"/>
    <mergeCell ref="H15:I15"/>
    <mergeCell ref="J15:K15"/>
    <mergeCell ref="L15:M15"/>
    <mergeCell ref="N15:O15"/>
    <mergeCell ref="P15:Q15"/>
    <mergeCell ref="AH14:AI14"/>
    <mergeCell ref="AJ14:AK14"/>
  </mergeCells>
  <conditionalFormatting sqref="F4:AS4 F7:AS12">
    <cfRule type="notContainsBlanks" dxfId="6" priority="1">
      <formula>LEN(TRIM(F4))&gt;0</formula>
    </cfRule>
  </conditionalFormatting>
  <dataValidations count="1">
    <dataValidation type="whole" allowBlank="1" showInputMessage="1" showErrorMessage="1" errorTitle="Attenzione" error="Il servizio deve avere una durata minima di 1 mese e una durata massima di 48 mesi" sqref="F4:AS4" xr:uid="{00000000-0002-0000-1700-000000000000}">
      <formula1>1</formula1>
      <formula2>48</formula2>
    </dataValidation>
  </dataValidations>
  <pageMargins left="0.7" right="0.7" top="0.75" bottom="0.75" header="0.3" footer="0.3"/>
  <pageSetup paperSize="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0"/>
  <dimension ref="A1:BD93"/>
  <sheetViews>
    <sheetView zoomScale="120" zoomScaleNormal="120" workbookViewId="0">
      <pane xSplit="5" ySplit="6" topLeftCell="F7" activePane="bottomRight" state="frozen"/>
      <selection pane="topRight" activeCell="F1" sqref="F1"/>
      <selection pane="bottomLeft" activeCell="A7" sqref="A7"/>
      <selection pane="bottomRight" activeCell="F7" sqref="F7:F25"/>
    </sheetView>
  </sheetViews>
  <sheetFormatPr defaultColWidth="9.140625" defaultRowHeight="11.25" x14ac:dyDescent="0.2"/>
  <cols>
    <col min="1" max="1" width="0.5703125" style="573" customWidth="1"/>
    <col min="2" max="2" width="10.140625" style="99" customWidth="1"/>
    <col min="3" max="3" width="9.85546875" style="99" bestFit="1" customWidth="1"/>
    <col min="4" max="4" width="35.85546875" style="99" customWidth="1"/>
    <col min="5" max="5" width="14.28515625" style="99" bestFit="1" customWidth="1"/>
    <col min="6" max="6" width="9.42578125" style="573" bestFit="1" customWidth="1"/>
    <col min="7" max="7" width="10.140625" style="573" bestFit="1" customWidth="1"/>
    <col min="8" max="14" width="9.42578125" style="573" bestFit="1" customWidth="1"/>
    <col min="15" max="25" width="10.140625" style="573" bestFit="1" customWidth="1"/>
    <col min="26" max="26" width="12.42578125" style="99" bestFit="1" customWidth="1"/>
    <col min="27" max="27" width="5.140625" style="99" bestFit="1" customWidth="1"/>
    <col min="28" max="28" width="7.5703125" style="99" bestFit="1" customWidth="1"/>
    <col min="29" max="29" width="12.28515625" style="99" bestFit="1" customWidth="1"/>
    <col min="30" max="30" width="7.5703125" style="99" bestFit="1" customWidth="1"/>
    <col min="31" max="31" width="12.28515625" style="99" bestFit="1" customWidth="1"/>
    <col min="32" max="16384" width="9.140625" style="573"/>
  </cols>
  <sheetData>
    <row r="1" spans="1:56" ht="12" thickBot="1" x14ac:dyDescent="0.25"/>
    <row r="2" spans="1:56" s="99" customFormat="1" ht="12.75" thickBot="1" x14ac:dyDescent="0.25">
      <c r="F2" s="263" t="s">
        <v>308</v>
      </c>
      <c r="G2" s="263" t="s">
        <v>309</v>
      </c>
      <c r="H2" s="263" t="s">
        <v>310</v>
      </c>
      <c r="I2" s="263" t="s">
        <v>311</v>
      </c>
      <c r="J2" s="263" t="s">
        <v>312</v>
      </c>
      <c r="K2" s="263" t="s">
        <v>313</v>
      </c>
      <c r="L2" s="263" t="s">
        <v>314</v>
      </c>
      <c r="M2" s="263" t="s">
        <v>315</v>
      </c>
      <c r="N2" s="263" t="s">
        <v>316</v>
      </c>
      <c r="O2" s="263" t="s">
        <v>317</v>
      </c>
      <c r="P2" s="263" t="s">
        <v>318</v>
      </c>
      <c r="Q2" s="263" t="s">
        <v>319</v>
      </c>
      <c r="R2" s="263" t="s">
        <v>320</v>
      </c>
      <c r="S2" s="263" t="s">
        <v>321</v>
      </c>
      <c r="T2" s="263" t="s">
        <v>322</v>
      </c>
      <c r="U2" s="263" t="s">
        <v>323</v>
      </c>
      <c r="V2" s="263" t="s">
        <v>324</v>
      </c>
      <c r="W2" s="263" t="s">
        <v>325</v>
      </c>
      <c r="X2" s="263" t="s">
        <v>326</v>
      </c>
      <c r="Y2" s="263" t="s">
        <v>327</v>
      </c>
    </row>
    <row r="3" spans="1:56" s="99" customFormat="1" ht="24.75" thickBot="1" x14ac:dyDescent="0.25">
      <c r="E3" s="124" t="s">
        <v>1170</v>
      </c>
      <c r="F3" s="487" t="str">
        <f>IF('Elenco immobili'!$C$4="","",'Elenco immobili'!$C$4)</f>
        <v>Sede ICE-AGID</v>
      </c>
      <c r="G3" s="487" t="str">
        <f>IF('Elenco immobili'!$C$5="","",'Elenco immobili'!$C$5)</f>
        <v/>
      </c>
      <c r="H3" s="487" t="str">
        <f>IF('Elenco immobili'!$C$6="","",'Elenco immobili'!$C$6)</f>
        <v/>
      </c>
      <c r="I3" s="487" t="str">
        <f>IF('Elenco immobili'!$C$7="","",'Elenco immobili'!$C$7)</f>
        <v/>
      </c>
      <c r="J3" s="487" t="str">
        <f>IF('Elenco immobili'!$C$8="","",'Elenco immobili'!$C$8)</f>
        <v/>
      </c>
      <c r="K3" s="487" t="str">
        <f>IF('Elenco immobili'!$C$9="","",'Elenco immobili'!$C$9)</f>
        <v/>
      </c>
      <c r="L3" s="487" t="str">
        <f>IF('Elenco immobili'!$C$10="","",'Elenco immobili'!$C$10)</f>
        <v/>
      </c>
      <c r="M3" s="487" t="str">
        <f>IF('Elenco immobili'!$C$11="","",'Elenco immobili'!$C$11)</f>
        <v/>
      </c>
      <c r="N3" s="487" t="str">
        <f>IF('Elenco immobili'!$C$12="","",'Elenco immobili'!$C$12)</f>
        <v/>
      </c>
      <c r="O3" s="487" t="str">
        <f>IF('Elenco immobili'!$C$13="","",'Elenco immobili'!$C$13)</f>
        <v/>
      </c>
      <c r="P3" s="487" t="str">
        <f>IF('Elenco immobili'!$C$14="","",'Elenco immobili'!$C$14)</f>
        <v/>
      </c>
      <c r="Q3" s="487" t="str">
        <f>IF('Elenco immobili'!$C$15="","",'Elenco immobili'!$C$15)</f>
        <v/>
      </c>
      <c r="R3" s="487" t="str">
        <f>IF('Elenco immobili'!$C$16="","",'Elenco immobili'!$C$16)</f>
        <v/>
      </c>
      <c r="S3" s="487" t="str">
        <f>IF('Elenco immobili'!$C$17="","",'Elenco immobili'!$C$17)</f>
        <v/>
      </c>
      <c r="T3" s="487" t="str">
        <f>IF('Elenco immobili'!$C$18="","",'Elenco immobili'!$C$18)</f>
        <v/>
      </c>
      <c r="U3" s="487" t="str">
        <f>IF('Elenco immobili'!$C$19="","",'Elenco immobili'!$C$19)</f>
        <v/>
      </c>
      <c r="V3" s="487" t="str">
        <f>IF('Elenco immobili'!$C$20="","",'Elenco immobili'!$C$20)</f>
        <v/>
      </c>
      <c r="W3" s="487" t="str">
        <f>IF('Elenco immobili'!$C$21="","",'Elenco immobili'!$C$21)</f>
        <v/>
      </c>
      <c r="X3" s="487" t="str">
        <f>IF('Elenco immobili'!$C$22="","",'Elenco immobili'!$C$22)</f>
        <v/>
      </c>
      <c r="Y3" s="487" t="str">
        <f>IF('Elenco immobili'!$C$23="","",'Elenco immobili'!$C$23)</f>
        <v/>
      </c>
    </row>
    <row r="4" spans="1:56" ht="13.5" thickBot="1" x14ac:dyDescent="0.25">
      <c r="B4" s="105" t="s">
        <v>1030</v>
      </c>
      <c r="E4" s="125" t="s">
        <v>328</v>
      </c>
      <c r="F4" s="574">
        <v>48</v>
      </c>
      <c r="G4" s="574"/>
      <c r="H4" s="574"/>
      <c r="I4" s="574"/>
      <c r="J4" s="574"/>
      <c r="K4" s="574"/>
      <c r="L4" s="574"/>
      <c r="M4" s="574"/>
      <c r="N4" s="574"/>
      <c r="O4" s="574"/>
      <c r="P4" s="574"/>
      <c r="Q4" s="574"/>
      <c r="R4" s="574"/>
      <c r="S4" s="574"/>
      <c r="T4" s="574"/>
      <c r="U4" s="574"/>
      <c r="V4" s="574"/>
      <c r="W4" s="574"/>
      <c r="X4" s="574"/>
      <c r="Y4" s="574"/>
    </row>
    <row r="5" spans="1:56" ht="3" customHeight="1" thickBot="1" x14ac:dyDescent="0.25">
      <c r="F5" s="102"/>
      <c r="G5" s="102"/>
      <c r="H5" s="102"/>
      <c r="I5" s="102"/>
      <c r="J5" s="102"/>
      <c r="K5" s="102"/>
      <c r="L5" s="102"/>
      <c r="M5" s="102"/>
      <c r="N5" s="102"/>
      <c r="O5" s="102"/>
      <c r="P5" s="102"/>
      <c r="Q5" s="102"/>
      <c r="R5" s="102"/>
      <c r="S5" s="102"/>
      <c r="T5" s="102"/>
      <c r="U5" s="102"/>
      <c r="V5" s="102"/>
      <c r="W5" s="102"/>
      <c r="X5" s="102"/>
      <c r="Y5" s="102"/>
    </row>
    <row r="6" spans="1:56" s="99" customFormat="1" ht="32.1" customHeight="1" thickBot="1" x14ac:dyDescent="0.25">
      <c r="A6" s="101"/>
      <c r="B6" s="317" t="s">
        <v>771</v>
      </c>
      <c r="C6" s="121" t="s">
        <v>1031</v>
      </c>
      <c r="D6" s="123" t="s">
        <v>989</v>
      </c>
      <c r="E6" s="123" t="s">
        <v>1174</v>
      </c>
      <c r="F6" s="588" t="s">
        <v>1203</v>
      </c>
      <c r="G6" s="588" t="s">
        <v>1203</v>
      </c>
      <c r="H6" s="588" t="s">
        <v>1203</v>
      </c>
      <c r="I6" s="588" t="s">
        <v>1203</v>
      </c>
      <c r="J6" s="588" t="s">
        <v>1203</v>
      </c>
      <c r="K6" s="588" t="s">
        <v>1203</v>
      </c>
      <c r="L6" s="588" t="s">
        <v>1203</v>
      </c>
      <c r="M6" s="588" t="s">
        <v>1203</v>
      </c>
      <c r="N6" s="588" t="s">
        <v>1203</v>
      </c>
      <c r="O6" s="588" t="s">
        <v>1203</v>
      </c>
      <c r="P6" s="588" t="s">
        <v>1203</v>
      </c>
      <c r="Q6" s="588" t="s">
        <v>1203</v>
      </c>
      <c r="R6" s="588" t="s">
        <v>1203</v>
      </c>
      <c r="S6" s="588" t="s">
        <v>1203</v>
      </c>
      <c r="T6" s="588" t="s">
        <v>1203</v>
      </c>
      <c r="U6" s="588" t="s">
        <v>1203</v>
      </c>
      <c r="V6" s="588" t="s">
        <v>1203</v>
      </c>
      <c r="W6" s="588" t="s">
        <v>1203</v>
      </c>
      <c r="X6" s="588" t="s">
        <v>1203</v>
      </c>
      <c r="Y6" s="588" t="s">
        <v>1203</v>
      </c>
      <c r="Z6" s="127" t="s">
        <v>1171</v>
      </c>
      <c r="AA6" s="128" t="s">
        <v>51</v>
      </c>
      <c r="AB6" s="128" t="s">
        <v>143</v>
      </c>
      <c r="AC6" s="128" t="s">
        <v>1172</v>
      </c>
      <c r="AD6" s="128" t="s">
        <v>160</v>
      </c>
      <c r="AE6" s="128" t="s">
        <v>1173</v>
      </c>
      <c r="AF6" s="98"/>
      <c r="AG6" s="98"/>
      <c r="AH6" s="98"/>
      <c r="AI6" s="98"/>
      <c r="AJ6" s="98"/>
      <c r="AK6" s="98"/>
      <c r="AL6" s="98"/>
      <c r="AM6" s="98"/>
      <c r="AN6" s="98"/>
      <c r="AO6" s="98"/>
      <c r="AP6" s="98"/>
      <c r="AQ6" s="98"/>
      <c r="AR6" s="98"/>
      <c r="AS6" s="98"/>
      <c r="AT6" s="98"/>
      <c r="AU6" s="98"/>
      <c r="AV6" s="98"/>
      <c r="AW6" s="98"/>
      <c r="AX6" s="98"/>
      <c r="AY6" s="98"/>
      <c r="AZ6" s="98"/>
      <c r="BA6" s="98"/>
      <c r="BB6" s="98"/>
      <c r="BC6" s="98"/>
      <c r="BD6" s="96"/>
    </row>
    <row r="7" spans="1:56" ht="23.25" thickBot="1" x14ac:dyDescent="0.25">
      <c r="A7" s="575"/>
      <c r="B7" s="331" t="s">
        <v>1032</v>
      </c>
      <c r="C7" s="335"/>
      <c r="D7" s="330" t="s">
        <v>1033</v>
      </c>
      <c r="E7" s="303" t="s">
        <v>1201</v>
      </c>
      <c r="F7" s="849">
        <v>4</v>
      </c>
      <c r="G7" s="454"/>
      <c r="H7" s="454"/>
      <c r="I7" s="454"/>
      <c r="J7" s="454"/>
      <c r="K7" s="454"/>
      <c r="L7" s="454"/>
      <c r="M7" s="454"/>
      <c r="N7" s="454"/>
      <c r="O7" s="454"/>
      <c r="P7" s="454"/>
      <c r="Q7" s="454"/>
      <c r="R7" s="454"/>
      <c r="S7" s="454"/>
      <c r="T7" s="454"/>
      <c r="U7" s="454"/>
      <c r="V7" s="454"/>
      <c r="W7" s="454"/>
      <c r="X7" s="454"/>
      <c r="Y7" s="454"/>
      <c r="Z7" s="130">
        <v>300</v>
      </c>
      <c r="AA7" s="613" t="s">
        <v>46</v>
      </c>
      <c r="AB7" s="131">
        <f>'Ribassi PE'!$K$32</f>
        <v>0.47</v>
      </c>
      <c r="AC7" s="132">
        <f t="shared" ref="AC7:AC25" si="0">ROUND(Z7*(1-AB7),3)</f>
        <v>159</v>
      </c>
      <c r="AD7" s="133">
        <f>'Ribassi PE'!$M$32</f>
        <v>0.5</v>
      </c>
      <c r="AE7" s="132">
        <f t="shared" ref="AE7:AE25" si="1">ROUND(Z7*(1-AD7),3)</f>
        <v>150</v>
      </c>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7"/>
    </row>
    <row r="8" spans="1:56" ht="23.25" thickBot="1" x14ac:dyDescent="0.25">
      <c r="A8" s="575"/>
      <c r="B8" s="333" t="s">
        <v>1034</v>
      </c>
      <c r="C8" s="336" t="s">
        <v>1035</v>
      </c>
      <c r="D8" s="308" t="s">
        <v>1036</v>
      </c>
      <c r="E8" s="299" t="s">
        <v>1202</v>
      </c>
      <c r="F8" s="850"/>
      <c r="G8" s="455"/>
      <c r="H8" s="455"/>
      <c r="I8" s="455"/>
      <c r="J8" s="455"/>
      <c r="K8" s="455"/>
      <c r="L8" s="455"/>
      <c r="M8" s="455"/>
      <c r="N8" s="455"/>
      <c r="O8" s="455"/>
      <c r="P8" s="455"/>
      <c r="Q8" s="455"/>
      <c r="R8" s="455"/>
      <c r="S8" s="455"/>
      <c r="T8" s="455"/>
      <c r="U8" s="455"/>
      <c r="V8" s="455"/>
      <c r="W8" s="455"/>
      <c r="X8" s="455"/>
      <c r="Y8" s="455"/>
      <c r="Z8" s="164">
        <v>2.0499999999999998</v>
      </c>
      <c r="AA8" s="614" t="s">
        <v>46</v>
      </c>
      <c r="AB8" s="165">
        <f>'Ribassi PE'!$K$32</f>
        <v>0.47</v>
      </c>
      <c r="AC8" s="166">
        <f t="shared" si="0"/>
        <v>1.087</v>
      </c>
      <c r="AD8" s="165">
        <f>'Ribassi PE'!$M$32</f>
        <v>0.5</v>
      </c>
      <c r="AE8" s="166">
        <f t="shared" si="1"/>
        <v>1.0249999999999999</v>
      </c>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7"/>
    </row>
    <row r="9" spans="1:56" ht="23.25" thickBot="1" x14ac:dyDescent="0.25">
      <c r="A9" s="575"/>
      <c r="B9" s="333" t="s">
        <v>1037</v>
      </c>
      <c r="C9" s="336" t="s">
        <v>1038</v>
      </c>
      <c r="D9" s="308" t="s">
        <v>1039</v>
      </c>
      <c r="E9" s="299" t="s">
        <v>1202</v>
      </c>
      <c r="F9" s="850"/>
      <c r="G9" s="455"/>
      <c r="H9" s="455"/>
      <c r="I9" s="455"/>
      <c r="J9" s="455"/>
      <c r="K9" s="455"/>
      <c r="L9" s="455"/>
      <c r="M9" s="455"/>
      <c r="N9" s="455"/>
      <c r="O9" s="455"/>
      <c r="P9" s="455"/>
      <c r="Q9" s="455"/>
      <c r="R9" s="455"/>
      <c r="S9" s="455"/>
      <c r="T9" s="455"/>
      <c r="U9" s="455"/>
      <c r="V9" s="455"/>
      <c r="W9" s="455"/>
      <c r="X9" s="455"/>
      <c r="Y9" s="455"/>
      <c r="Z9" s="134">
        <v>1.4</v>
      </c>
      <c r="AA9" s="614" t="s">
        <v>46</v>
      </c>
      <c r="AB9" s="135">
        <f>'Ribassi PE'!$K$32</f>
        <v>0.47</v>
      </c>
      <c r="AC9" s="136">
        <f t="shared" si="0"/>
        <v>0.74199999999999999</v>
      </c>
      <c r="AD9" s="135">
        <f>'Ribassi PE'!$M$32</f>
        <v>0.5</v>
      </c>
      <c r="AE9" s="136">
        <f t="shared" si="1"/>
        <v>0.7</v>
      </c>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7"/>
    </row>
    <row r="10" spans="1:56" ht="23.25" thickBot="1" x14ac:dyDescent="0.25">
      <c r="A10" s="575"/>
      <c r="B10" s="333" t="s">
        <v>1040</v>
      </c>
      <c r="C10" s="336" t="s">
        <v>1042</v>
      </c>
      <c r="D10" s="308" t="s">
        <v>1043</v>
      </c>
      <c r="E10" s="299" t="s">
        <v>1202</v>
      </c>
      <c r="F10" s="850"/>
      <c r="G10" s="455"/>
      <c r="H10" s="455"/>
      <c r="I10" s="455"/>
      <c r="J10" s="455"/>
      <c r="K10" s="455"/>
      <c r="L10" s="455"/>
      <c r="M10" s="455"/>
      <c r="N10" s="455"/>
      <c r="O10" s="455"/>
      <c r="P10" s="455"/>
      <c r="Q10" s="455"/>
      <c r="R10" s="455"/>
      <c r="S10" s="455"/>
      <c r="T10" s="455"/>
      <c r="U10" s="455"/>
      <c r="V10" s="455"/>
      <c r="W10" s="455"/>
      <c r="X10" s="455"/>
      <c r="Y10" s="455"/>
      <c r="Z10" s="134">
        <v>0.1</v>
      </c>
      <c r="AA10" s="614" t="s">
        <v>46</v>
      </c>
      <c r="AB10" s="167">
        <f>'Ribassi PE'!$K$32</f>
        <v>0.47</v>
      </c>
      <c r="AC10" s="168">
        <f t="shared" si="0"/>
        <v>5.2999999999999999E-2</v>
      </c>
      <c r="AD10" s="167">
        <f>'Ribassi PE'!$M$32</f>
        <v>0.5</v>
      </c>
      <c r="AE10" s="168">
        <f t="shared" si="1"/>
        <v>0.05</v>
      </c>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7"/>
    </row>
    <row r="11" spans="1:56" ht="23.25" thickBot="1" x14ac:dyDescent="0.25">
      <c r="A11" s="575"/>
      <c r="B11" s="333" t="s">
        <v>1041</v>
      </c>
      <c r="C11" s="336" t="s">
        <v>1045</v>
      </c>
      <c r="D11" s="308" t="s">
        <v>1046</v>
      </c>
      <c r="E11" s="299" t="s">
        <v>1202</v>
      </c>
      <c r="F11" s="850">
        <v>150</v>
      </c>
      <c r="G11" s="455"/>
      <c r="H11" s="455"/>
      <c r="I11" s="455"/>
      <c r="J11" s="455"/>
      <c r="K11" s="455"/>
      <c r="L11" s="455"/>
      <c r="M11" s="455"/>
      <c r="N11" s="455"/>
      <c r="O11" s="455"/>
      <c r="P11" s="455"/>
      <c r="Q11" s="455"/>
      <c r="R11" s="455"/>
      <c r="S11" s="455"/>
      <c r="T11" s="455"/>
      <c r="U11" s="455"/>
      <c r="V11" s="455"/>
      <c r="W11" s="455"/>
      <c r="X11" s="455"/>
      <c r="Y11" s="455"/>
      <c r="Z11" s="134">
        <v>0.25</v>
      </c>
      <c r="AA11" s="614" t="s">
        <v>46</v>
      </c>
      <c r="AB11" s="165">
        <f>'Ribassi PE'!$K$32</f>
        <v>0.47</v>
      </c>
      <c r="AC11" s="169">
        <f t="shared" si="0"/>
        <v>0.13300000000000001</v>
      </c>
      <c r="AD11" s="165">
        <f>'Ribassi PE'!$M$32</f>
        <v>0.5</v>
      </c>
      <c r="AE11" s="169">
        <f t="shared" si="1"/>
        <v>0.125</v>
      </c>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7"/>
    </row>
    <row r="12" spans="1:56" ht="23.25" thickBot="1" x14ac:dyDescent="0.25">
      <c r="A12" s="575"/>
      <c r="B12" s="333" t="s">
        <v>1044</v>
      </c>
      <c r="C12" s="336" t="s">
        <v>1048</v>
      </c>
      <c r="D12" s="308" t="s">
        <v>1049</v>
      </c>
      <c r="E12" s="299" t="s">
        <v>1202</v>
      </c>
      <c r="F12" s="850"/>
      <c r="G12" s="455"/>
      <c r="H12" s="455"/>
      <c r="I12" s="455"/>
      <c r="J12" s="455"/>
      <c r="K12" s="455"/>
      <c r="L12" s="455"/>
      <c r="M12" s="455"/>
      <c r="N12" s="455"/>
      <c r="O12" s="455"/>
      <c r="P12" s="455"/>
      <c r="Q12" s="455"/>
      <c r="R12" s="455"/>
      <c r="S12" s="455"/>
      <c r="T12" s="455"/>
      <c r="U12" s="455"/>
      <c r="V12" s="455"/>
      <c r="W12" s="455"/>
      <c r="X12" s="455"/>
      <c r="Y12" s="455"/>
      <c r="Z12" s="134">
        <v>0.6</v>
      </c>
      <c r="AA12" s="614" t="s">
        <v>46</v>
      </c>
      <c r="AB12" s="135">
        <f>'Ribassi PE'!$K$32</f>
        <v>0.47</v>
      </c>
      <c r="AC12" s="136">
        <f t="shared" si="0"/>
        <v>0.318</v>
      </c>
      <c r="AD12" s="135">
        <f>'Ribassi PE'!$M$32</f>
        <v>0.5</v>
      </c>
      <c r="AE12" s="136">
        <f t="shared" si="1"/>
        <v>0.3</v>
      </c>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7"/>
    </row>
    <row r="13" spans="1:56" ht="23.25" thickBot="1" x14ac:dyDescent="0.25">
      <c r="A13" s="575"/>
      <c r="B13" s="333" t="s">
        <v>1047</v>
      </c>
      <c r="C13" s="336" t="s">
        <v>1051</v>
      </c>
      <c r="D13" s="308" t="s">
        <v>1052</v>
      </c>
      <c r="E13" s="299" t="s">
        <v>1202</v>
      </c>
      <c r="F13" s="850"/>
      <c r="G13" s="455"/>
      <c r="H13" s="455"/>
      <c r="I13" s="455"/>
      <c r="J13" s="455"/>
      <c r="K13" s="455"/>
      <c r="L13" s="455"/>
      <c r="M13" s="455"/>
      <c r="N13" s="455"/>
      <c r="O13" s="455"/>
      <c r="P13" s="455"/>
      <c r="Q13" s="455"/>
      <c r="R13" s="455"/>
      <c r="S13" s="455"/>
      <c r="T13" s="455"/>
      <c r="U13" s="455"/>
      <c r="V13" s="455"/>
      <c r="W13" s="455"/>
      <c r="X13" s="455"/>
      <c r="Y13" s="455"/>
      <c r="Z13" s="164">
        <v>0.45</v>
      </c>
      <c r="AA13" s="614" t="s">
        <v>46</v>
      </c>
      <c r="AB13" s="165">
        <f>'Ribassi PE'!$K$32</f>
        <v>0.47</v>
      </c>
      <c r="AC13" s="166">
        <f t="shared" si="0"/>
        <v>0.23899999999999999</v>
      </c>
      <c r="AD13" s="165">
        <f>'Ribassi PE'!$M$32</f>
        <v>0.5</v>
      </c>
      <c r="AE13" s="166">
        <f t="shared" si="1"/>
        <v>0.22500000000000001</v>
      </c>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7"/>
    </row>
    <row r="14" spans="1:56" ht="23.25" thickBot="1" x14ac:dyDescent="0.25">
      <c r="A14" s="575"/>
      <c r="B14" s="333" t="s">
        <v>1050</v>
      </c>
      <c r="C14" s="336" t="s">
        <v>1054</v>
      </c>
      <c r="D14" s="308" t="s">
        <v>1055</v>
      </c>
      <c r="E14" s="299" t="s">
        <v>1202</v>
      </c>
      <c r="F14" s="850">
        <v>100</v>
      </c>
      <c r="G14" s="455"/>
      <c r="H14" s="455"/>
      <c r="I14" s="455"/>
      <c r="J14" s="455"/>
      <c r="K14" s="455"/>
      <c r="L14" s="455"/>
      <c r="M14" s="455"/>
      <c r="N14" s="455"/>
      <c r="O14" s="455"/>
      <c r="P14" s="455"/>
      <c r="Q14" s="455"/>
      <c r="R14" s="455"/>
      <c r="S14" s="455"/>
      <c r="T14" s="455"/>
      <c r="U14" s="455"/>
      <c r="V14" s="455"/>
      <c r="W14" s="455"/>
      <c r="X14" s="455"/>
      <c r="Y14" s="455"/>
      <c r="Z14" s="164">
        <v>0.6</v>
      </c>
      <c r="AA14" s="614" t="s">
        <v>46</v>
      </c>
      <c r="AB14" s="165">
        <f>'Ribassi PE'!$K$32</f>
        <v>0.47</v>
      </c>
      <c r="AC14" s="166">
        <f t="shared" si="0"/>
        <v>0.318</v>
      </c>
      <c r="AD14" s="165">
        <f>'Ribassi PE'!$M$32</f>
        <v>0.5</v>
      </c>
      <c r="AE14" s="166">
        <f t="shared" si="1"/>
        <v>0.3</v>
      </c>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7"/>
    </row>
    <row r="15" spans="1:56" ht="23.25" thickBot="1" x14ac:dyDescent="0.25">
      <c r="A15" s="575"/>
      <c r="B15" s="333" t="s">
        <v>1053</v>
      </c>
      <c r="C15" s="336" t="s">
        <v>1057</v>
      </c>
      <c r="D15" s="308" t="s">
        <v>1058</v>
      </c>
      <c r="E15" s="299" t="s">
        <v>1202</v>
      </c>
      <c r="F15" s="850">
        <v>150</v>
      </c>
      <c r="G15" s="455"/>
      <c r="H15" s="455"/>
      <c r="I15" s="455"/>
      <c r="J15" s="455"/>
      <c r="K15" s="455"/>
      <c r="L15" s="455"/>
      <c r="M15" s="455"/>
      <c r="N15" s="455"/>
      <c r="O15" s="455"/>
      <c r="P15" s="455"/>
      <c r="Q15" s="455"/>
      <c r="R15" s="455"/>
      <c r="S15" s="455"/>
      <c r="T15" s="455"/>
      <c r="U15" s="455"/>
      <c r="V15" s="455"/>
      <c r="W15" s="455"/>
      <c r="X15" s="455"/>
      <c r="Y15" s="455"/>
      <c r="Z15" s="134">
        <v>0.18</v>
      </c>
      <c r="AA15" s="614" t="s">
        <v>46</v>
      </c>
      <c r="AB15" s="135">
        <f>'Ribassi PE'!$K$32</f>
        <v>0.47</v>
      </c>
      <c r="AC15" s="136">
        <f t="shared" si="0"/>
        <v>9.5000000000000001E-2</v>
      </c>
      <c r="AD15" s="135">
        <f>'Ribassi PE'!$M$32</f>
        <v>0.5</v>
      </c>
      <c r="AE15" s="136">
        <f t="shared" si="1"/>
        <v>0.09</v>
      </c>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7"/>
    </row>
    <row r="16" spans="1:56" ht="23.25" thickBot="1" x14ac:dyDescent="0.25">
      <c r="A16" s="575"/>
      <c r="B16" s="333" t="s">
        <v>1056</v>
      </c>
      <c r="C16" s="336" t="s">
        <v>1060</v>
      </c>
      <c r="D16" s="308" t="s">
        <v>1061</v>
      </c>
      <c r="E16" s="299" t="s">
        <v>1202</v>
      </c>
      <c r="F16" s="850">
        <v>50</v>
      </c>
      <c r="G16" s="455"/>
      <c r="H16" s="455"/>
      <c r="I16" s="455"/>
      <c r="J16" s="455"/>
      <c r="K16" s="455"/>
      <c r="L16" s="455"/>
      <c r="M16" s="455"/>
      <c r="N16" s="455"/>
      <c r="O16" s="455"/>
      <c r="P16" s="455"/>
      <c r="Q16" s="455"/>
      <c r="R16" s="455"/>
      <c r="S16" s="455"/>
      <c r="T16" s="455"/>
      <c r="U16" s="455"/>
      <c r="V16" s="455"/>
      <c r="W16" s="455"/>
      <c r="X16" s="455"/>
      <c r="Y16" s="455"/>
      <c r="Z16" s="164">
        <v>0.6</v>
      </c>
      <c r="AA16" s="614" t="s">
        <v>46</v>
      </c>
      <c r="AB16" s="165">
        <f>'Ribassi PE'!$K$32</f>
        <v>0.47</v>
      </c>
      <c r="AC16" s="166">
        <f t="shared" si="0"/>
        <v>0.318</v>
      </c>
      <c r="AD16" s="165">
        <f>'Ribassi PE'!$M$32</f>
        <v>0.5</v>
      </c>
      <c r="AE16" s="166">
        <f t="shared" si="1"/>
        <v>0.3</v>
      </c>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7"/>
    </row>
    <row r="17" spans="1:56" ht="23.25" thickBot="1" x14ac:dyDescent="0.25">
      <c r="A17" s="575"/>
      <c r="B17" s="333" t="s">
        <v>1059</v>
      </c>
      <c r="C17" s="336" t="s">
        <v>1063</v>
      </c>
      <c r="D17" s="308" t="s">
        <v>1064</v>
      </c>
      <c r="E17" s="299" t="s">
        <v>1202</v>
      </c>
      <c r="F17" s="850"/>
      <c r="G17" s="455"/>
      <c r="H17" s="455"/>
      <c r="I17" s="455"/>
      <c r="J17" s="455"/>
      <c r="K17" s="455"/>
      <c r="L17" s="455"/>
      <c r="M17" s="455"/>
      <c r="N17" s="455"/>
      <c r="O17" s="455"/>
      <c r="P17" s="455"/>
      <c r="Q17" s="455"/>
      <c r="R17" s="455"/>
      <c r="S17" s="455"/>
      <c r="T17" s="455"/>
      <c r="U17" s="455"/>
      <c r="V17" s="455"/>
      <c r="W17" s="455"/>
      <c r="X17" s="455"/>
      <c r="Y17" s="455"/>
      <c r="Z17" s="134">
        <v>1.73</v>
      </c>
      <c r="AA17" s="614" t="s">
        <v>46</v>
      </c>
      <c r="AB17" s="135">
        <f>'Ribassi PE'!$K$32</f>
        <v>0.47</v>
      </c>
      <c r="AC17" s="136">
        <f t="shared" si="0"/>
        <v>0.91700000000000004</v>
      </c>
      <c r="AD17" s="135">
        <f>'Ribassi PE'!$M$32</f>
        <v>0.5</v>
      </c>
      <c r="AE17" s="136">
        <f t="shared" si="1"/>
        <v>0.86499999999999999</v>
      </c>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7"/>
    </row>
    <row r="18" spans="1:56" ht="23.25" thickBot="1" x14ac:dyDescent="0.25">
      <c r="A18" s="575"/>
      <c r="B18" s="333" t="s">
        <v>1062</v>
      </c>
      <c r="C18" s="336" t="s">
        <v>1066</v>
      </c>
      <c r="D18" s="308" t="s">
        <v>1067</v>
      </c>
      <c r="E18" s="299" t="s">
        <v>1202</v>
      </c>
      <c r="F18" s="850"/>
      <c r="G18" s="455"/>
      <c r="H18" s="455"/>
      <c r="I18" s="455"/>
      <c r="J18" s="455"/>
      <c r="K18" s="455"/>
      <c r="L18" s="455"/>
      <c r="M18" s="455"/>
      <c r="N18" s="455"/>
      <c r="O18" s="455"/>
      <c r="P18" s="455"/>
      <c r="Q18" s="455"/>
      <c r="R18" s="455"/>
      <c r="S18" s="455"/>
      <c r="T18" s="455"/>
      <c r="U18" s="455"/>
      <c r="V18" s="455"/>
      <c r="W18" s="455"/>
      <c r="X18" s="455"/>
      <c r="Y18" s="455"/>
      <c r="Z18" s="164">
        <v>1.9</v>
      </c>
      <c r="AA18" s="614" t="s">
        <v>46</v>
      </c>
      <c r="AB18" s="165">
        <f>'Ribassi PE'!$K$32</f>
        <v>0.47</v>
      </c>
      <c r="AC18" s="166">
        <f t="shared" ref="AC18:AC24" si="2">ROUND(Z18*(1-AB18),3)</f>
        <v>1.0069999999999999</v>
      </c>
      <c r="AD18" s="165">
        <f>'Ribassi PE'!$M$32</f>
        <v>0.5</v>
      </c>
      <c r="AE18" s="166">
        <f t="shared" ref="AE18:AE24" si="3">ROUND(Z18*(1-AD18),3)</f>
        <v>0.95</v>
      </c>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7"/>
    </row>
    <row r="19" spans="1:56" ht="23.25" thickBot="1" x14ac:dyDescent="0.25">
      <c r="A19" s="575"/>
      <c r="B19" s="333" t="s">
        <v>1065</v>
      </c>
      <c r="C19" s="336" t="s">
        <v>1069</v>
      </c>
      <c r="D19" s="308" t="s">
        <v>1070</v>
      </c>
      <c r="E19" s="299" t="s">
        <v>1202</v>
      </c>
      <c r="F19" s="850"/>
      <c r="G19" s="455"/>
      <c r="H19" s="455"/>
      <c r="I19" s="455"/>
      <c r="J19" s="455"/>
      <c r="K19" s="455"/>
      <c r="L19" s="455"/>
      <c r="M19" s="455"/>
      <c r="N19" s="455"/>
      <c r="O19" s="455"/>
      <c r="P19" s="455"/>
      <c r="Q19" s="455"/>
      <c r="R19" s="455"/>
      <c r="S19" s="455"/>
      <c r="T19" s="455"/>
      <c r="U19" s="455"/>
      <c r="V19" s="455"/>
      <c r="W19" s="455"/>
      <c r="X19" s="455"/>
      <c r="Y19" s="455"/>
      <c r="Z19" s="134">
        <v>1.1000000000000001</v>
      </c>
      <c r="AA19" s="614" t="s">
        <v>46</v>
      </c>
      <c r="AB19" s="135">
        <f>'Ribassi PE'!$K$32</f>
        <v>0.47</v>
      </c>
      <c r="AC19" s="136">
        <f t="shared" si="2"/>
        <v>0.58299999999999996</v>
      </c>
      <c r="AD19" s="135">
        <f>'Ribassi PE'!$M$32</f>
        <v>0.5</v>
      </c>
      <c r="AE19" s="136">
        <f t="shared" si="3"/>
        <v>0.55000000000000004</v>
      </c>
      <c r="AF19" s="576"/>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7"/>
    </row>
    <row r="20" spans="1:56" ht="23.25" thickBot="1" x14ac:dyDescent="0.25">
      <c r="A20" s="575"/>
      <c r="B20" s="333" t="s">
        <v>1068</v>
      </c>
      <c r="C20" s="336" t="s">
        <v>1072</v>
      </c>
      <c r="D20" s="308" t="s">
        <v>1073</v>
      </c>
      <c r="E20" s="299" t="s">
        <v>1202</v>
      </c>
      <c r="F20" s="850">
        <v>900</v>
      </c>
      <c r="G20" s="455"/>
      <c r="H20" s="455"/>
      <c r="I20" s="455"/>
      <c r="J20" s="455"/>
      <c r="K20" s="455"/>
      <c r="L20" s="455"/>
      <c r="M20" s="455"/>
      <c r="N20" s="455"/>
      <c r="O20" s="455"/>
      <c r="P20" s="455"/>
      <c r="Q20" s="455"/>
      <c r="R20" s="455"/>
      <c r="S20" s="455"/>
      <c r="T20" s="455"/>
      <c r="U20" s="455"/>
      <c r="V20" s="455"/>
      <c r="W20" s="455"/>
      <c r="X20" s="455"/>
      <c r="Y20" s="455"/>
      <c r="Z20" s="134">
        <v>0.68</v>
      </c>
      <c r="AA20" s="614" t="s">
        <v>46</v>
      </c>
      <c r="AB20" s="167">
        <f>'Ribassi PE'!$K$32</f>
        <v>0.47</v>
      </c>
      <c r="AC20" s="168">
        <f t="shared" si="2"/>
        <v>0.36</v>
      </c>
      <c r="AD20" s="167">
        <f>'Ribassi PE'!$M$32</f>
        <v>0.5</v>
      </c>
      <c r="AE20" s="168">
        <f t="shared" si="3"/>
        <v>0.34</v>
      </c>
      <c r="AF20" s="576"/>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7"/>
    </row>
    <row r="21" spans="1:56" ht="23.25" thickBot="1" x14ac:dyDescent="0.25">
      <c r="A21" s="575"/>
      <c r="B21" s="333" t="s">
        <v>1071</v>
      </c>
      <c r="C21" s="336" t="s">
        <v>1075</v>
      </c>
      <c r="D21" s="308" t="s">
        <v>1076</v>
      </c>
      <c r="E21" s="299" t="s">
        <v>1202</v>
      </c>
      <c r="F21" s="850">
        <v>50</v>
      </c>
      <c r="G21" s="455"/>
      <c r="H21" s="455"/>
      <c r="I21" s="455"/>
      <c r="J21" s="455"/>
      <c r="K21" s="455"/>
      <c r="L21" s="455"/>
      <c r="M21" s="455"/>
      <c r="N21" s="455"/>
      <c r="O21" s="455"/>
      <c r="P21" s="455"/>
      <c r="Q21" s="455"/>
      <c r="R21" s="455"/>
      <c r="S21" s="455"/>
      <c r="T21" s="455"/>
      <c r="U21" s="455"/>
      <c r="V21" s="455"/>
      <c r="W21" s="455"/>
      <c r="X21" s="455"/>
      <c r="Y21" s="455"/>
      <c r="Z21" s="134">
        <v>2.25</v>
      </c>
      <c r="AA21" s="614" t="s">
        <v>46</v>
      </c>
      <c r="AB21" s="165">
        <f>'Ribassi PE'!$K$32</f>
        <v>0.47</v>
      </c>
      <c r="AC21" s="169">
        <f t="shared" si="2"/>
        <v>1.1930000000000001</v>
      </c>
      <c r="AD21" s="165">
        <f>'Ribassi PE'!$M$32</f>
        <v>0.5</v>
      </c>
      <c r="AE21" s="169">
        <f t="shared" si="3"/>
        <v>1.125</v>
      </c>
      <c r="AF21" s="576"/>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7"/>
    </row>
    <row r="22" spans="1:56" ht="23.25" thickBot="1" x14ac:dyDescent="0.25">
      <c r="A22" s="575"/>
      <c r="B22" s="333" t="s">
        <v>1074</v>
      </c>
      <c r="C22" s="336" t="s">
        <v>1078</v>
      </c>
      <c r="D22" s="308" t="s">
        <v>1079</v>
      </c>
      <c r="E22" s="299" t="s">
        <v>1202</v>
      </c>
      <c r="F22" s="850"/>
      <c r="G22" s="455"/>
      <c r="H22" s="455"/>
      <c r="I22" s="455"/>
      <c r="J22" s="455"/>
      <c r="K22" s="455"/>
      <c r="L22" s="455"/>
      <c r="M22" s="455"/>
      <c r="N22" s="455"/>
      <c r="O22" s="455"/>
      <c r="P22" s="455"/>
      <c r="Q22" s="455"/>
      <c r="R22" s="455"/>
      <c r="S22" s="455"/>
      <c r="T22" s="455"/>
      <c r="U22" s="455"/>
      <c r="V22" s="455"/>
      <c r="W22" s="455"/>
      <c r="X22" s="455"/>
      <c r="Y22" s="455"/>
      <c r="Z22" s="134">
        <v>0.75</v>
      </c>
      <c r="AA22" s="614" t="s">
        <v>46</v>
      </c>
      <c r="AB22" s="135">
        <f>'Ribassi PE'!$K$32</f>
        <v>0.47</v>
      </c>
      <c r="AC22" s="136">
        <f t="shared" si="2"/>
        <v>0.39800000000000002</v>
      </c>
      <c r="AD22" s="135">
        <f>'Ribassi PE'!$M$32</f>
        <v>0.5</v>
      </c>
      <c r="AE22" s="136">
        <f t="shared" si="3"/>
        <v>0.375</v>
      </c>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7"/>
    </row>
    <row r="23" spans="1:56" ht="23.25" thickBot="1" x14ac:dyDescent="0.25">
      <c r="A23" s="575"/>
      <c r="B23" s="333" t="s">
        <v>1077</v>
      </c>
      <c r="C23" s="336" t="s">
        <v>1081</v>
      </c>
      <c r="D23" s="308" t="s">
        <v>1082</v>
      </c>
      <c r="E23" s="299" t="s">
        <v>1202</v>
      </c>
      <c r="F23" s="850">
        <v>200</v>
      </c>
      <c r="G23" s="455"/>
      <c r="H23" s="455"/>
      <c r="I23" s="455"/>
      <c r="J23" s="455"/>
      <c r="K23" s="455"/>
      <c r="L23" s="455"/>
      <c r="M23" s="455"/>
      <c r="N23" s="455"/>
      <c r="O23" s="455"/>
      <c r="P23" s="455"/>
      <c r="Q23" s="455"/>
      <c r="R23" s="455"/>
      <c r="S23" s="455"/>
      <c r="T23" s="455"/>
      <c r="U23" s="455"/>
      <c r="V23" s="455"/>
      <c r="W23" s="455"/>
      <c r="X23" s="455"/>
      <c r="Y23" s="455"/>
      <c r="Z23" s="164">
        <v>0.4</v>
      </c>
      <c r="AA23" s="614" t="s">
        <v>46</v>
      </c>
      <c r="AB23" s="165">
        <f>'Ribassi PE'!$K$32</f>
        <v>0.47</v>
      </c>
      <c r="AC23" s="166">
        <f t="shared" si="2"/>
        <v>0.21199999999999999</v>
      </c>
      <c r="AD23" s="165">
        <f>'Ribassi PE'!$M$32</f>
        <v>0.5</v>
      </c>
      <c r="AE23" s="166">
        <f t="shared" si="3"/>
        <v>0.2</v>
      </c>
      <c r="AF23" s="576"/>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7"/>
    </row>
    <row r="24" spans="1:56" ht="23.25" thickBot="1" x14ac:dyDescent="0.25">
      <c r="A24" s="575"/>
      <c r="B24" s="333" t="s">
        <v>1080</v>
      </c>
      <c r="C24" s="336" t="s">
        <v>1084</v>
      </c>
      <c r="D24" s="308" t="s">
        <v>1085</v>
      </c>
      <c r="E24" s="299" t="s">
        <v>1202</v>
      </c>
      <c r="F24" s="850">
        <v>50</v>
      </c>
      <c r="G24" s="455"/>
      <c r="H24" s="455"/>
      <c r="I24" s="455"/>
      <c r="J24" s="455"/>
      <c r="K24" s="455"/>
      <c r="L24" s="455"/>
      <c r="M24" s="455"/>
      <c r="N24" s="455"/>
      <c r="O24" s="455"/>
      <c r="P24" s="455"/>
      <c r="Q24" s="455"/>
      <c r="R24" s="455"/>
      <c r="S24" s="455"/>
      <c r="T24" s="455"/>
      <c r="U24" s="455"/>
      <c r="V24" s="455"/>
      <c r="W24" s="455"/>
      <c r="X24" s="455"/>
      <c r="Y24" s="455"/>
      <c r="Z24" s="164">
        <v>3.64</v>
      </c>
      <c r="AA24" s="614" t="s">
        <v>46</v>
      </c>
      <c r="AB24" s="165">
        <f>'Ribassi PE'!$K$32</f>
        <v>0.47</v>
      </c>
      <c r="AC24" s="166">
        <f t="shared" si="2"/>
        <v>1.929</v>
      </c>
      <c r="AD24" s="165">
        <f>'Ribassi PE'!$M$32</f>
        <v>0.5</v>
      </c>
      <c r="AE24" s="166">
        <f t="shared" si="3"/>
        <v>1.82</v>
      </c>
      <c r="AF24" s="576"/>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7"/>
    </row>
    <row r="25" spans="1:56" ht="23.25" thickBot="1" x14ac:dyDescent="0.25">
      <c r="A25" s="578"/>
      <c r="B25" s="548" t="s">
        <v>1083</v>
      </c>
      <c r="C25" s="337" t="s">
        <v>1086</v>
      </c>
      <c r="D25" s="544" t="s">
        <v>1087</v>
      </c>
      <c r="E25" s="301" t="s">
        <v>1202</v>
      </c>
      <c r="F25" s="851">
        <v>50</v>
      </c>
      <c r="G25" s="456"/>
      <c r="H25" s="456"/>
      <c r="I25" s="456"/>
      <c r="J25" s="456"/>
      <c r="K25" s="456"/>
      <c r="L25" s="456"/>
      <c r="M25" s="456"/>
      <c r="N25" s="456"/>
      <c r="O25" s="456"/>
      <c r="P25" s="456"/>
      <c r="Q25" s="456"/>
      <c r="R25" s="456"/>
      <c r="S25" s="456"/>
      <c r="T25" s="456"/>
      <c r="U25" s="456"/>
      <c r="V25" s="456"/>
      <c r="W25" s="456"/>
      <c r="X25" s="456"/>
      <c r="Y25" s="456"/>
      <c r="Z25" s="137">
        <v>1.1399999999999999</v>
      </c>
      <c r="AA25" s="615" t="s">
        <v>46</v>
      </c>
      <c r="AB25" s="138">
        <f>'Ribassi PE'!$K$32</f>
        <v>0.47</v>
      </c>
      <c r="AC25" s="139">
        <f t="shared" si="0"/>
        <v>0.60399999999999998</v>
      </c>
      <c r="AD25" s="138">
        <f>'Ribassi PE'!$M$32</f>
        <v>0.5</v>
      </c>
      <c r="AE25" s="139">
        <f t="shared" si="1"/>
        <v>0.56999999999999995</v>
      </c>
      <c r="AF25" s="576"/>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7"/>
    </row>
    <row r="26" spans="1:56" s="99" customFormat="1" ht="12.75" thickBot="1" x14ac:dyDescent="0.25">
      <c r="A26" s="98"/>
      <c r="B26" s="98"/>
      <c r="C26" s="98"/>
      <c r="D26" s="98"/>
      <c r="E26" s="125" t="s">
        <v>329</v>
      </c>
      <c r="F26" s="126">
        <f t="shared" ref="F26:Y26" si="4">SUMPRODUCT(F7:F25,$Z$7:$Z$25)*F$4/12</f>
        <v>9592</v>
      </c>
      <c r="G26" s="126">
        <f t="shared" si="4"/>
        <v>0</v>
      </c>
      <c r="H26" s="126">
        <f t="shared" si="4"/>
        <v>0</v>
      </c>
      <c r="I26" s="126">
        <f t="shared" si="4"/>
        <v>0</v>
      </c>
      <c r="J26" s="126">
        <f t="shared" si="4"/>
        <v>0</v>
      </c>
      <c r="K26" s="126">
        <f t="shared" si="4"/>
        <v>0</v>
      </c>
      <c r="L26" s="126">
        <f t="shared" si="4"/>
        <v>0</v>
      </c>
      <c r="M26" s="126">
        <f t="shared" si="4"/>
        <v>0</v>
      </c>
      <c r="N26" s="126">
        <f t="shared" si="4"/>
        <v>0</v>
      </c>
      <c r="O26" s="126">
        <f t="shared" si="4"/>
        <v>0</v>
      </c>
      <c r="P26" s="126">
        <f t="shared" si="4"/>
        <v>0</v>
      </c>
      <c r="Q26" s="126">
        <f t="shared" si="4"/>
        <v>0</v>
      </c>
      <c r="R26" s="126">
        <f t="shared" si="4"/>
        <v>0</v>
      </c>
      <c r="S26" s="126">
        <f t="shared" si="4"/>
        <v>0</v>
      </c>
      <c r="T26" s="126">
        <f t="shared" si="4"/>
        <v>0</v>
      </c>
      <c r="U26" s="126">
        <f t="shared" si="4"/>
        <v>0</v>
      </c>
      <c r="V26" s="126">
        <f t="shared" si="4"/>
        <v>0</v>
      </c>
      <c r="W26" s="126">
        <f t="shared" si="4"/>
        <v>0</v>
      </c>
      <c r="X26" s="126">
        <f t="shared" si="4"/>
        <v>0</v>
      </c>
      <c r="Y26" s="126">
        <f t="shared" si="4"/>
        <v>0</v>
      </c>
      <c r="Z26" s="97"/>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6"/>
    </row>
    <row r="27" spans="1:56" s="99" customFormat="1" ht="12.75" thickBot="1" x14ac:dyDescent="0.25">
      <c r="A27" s="98"/>
      <c r="B27" s="98"/>
      <c r="C27" s="98"/>
      <c r="D27" s="98"/>
      <c r="E27" s="581" t="s">
        <v>330</v>
      </c>
      <c r="F27" s="201">
        <f t="shared" ref="F27:Y27" si="5">SUMPRODUCT(F7:F25,$AC$7:$AC$25)*F$4/12</f>
        <v>5082.4000000000015</v>
      </c>
      <c r="G27" s="201">
        <f t="shared" si="5"/>
        <v>0</v>
      </c>
      <c r="H27" s="201">
        <f t="shared" si="5"/>
        <v>0</v>
      </c>
      <c r="I27" s="201">
        <f t="shared" si="5"/>
        <v>0</v>
      </c>
      <c r="J27" s="201">
        <f t="shared" si="5"/>
        <v>0</v>
      </c>
      <c r="K27" s="201">
        <f t="shared" si="5"/>
        <v>0</v>
      </c>
      <c r="L27" s="201">
        <f t="shared" si="5"/>
        <v>0</v>
      </c>
      <c r="M27" s="201">
        <f t="shared" si="5"/>
        <v>0</v>
      </c>
      <c r="N27" s="201">
        <f t="shared" si="5"/>
        <v>0</v>
      </c>
      <c r="O27" s="201">
        <f t="shared" si="5"/>
        <v>0</v>
      </c>
      <c r="P27" s="201">
        <f t="shared" si="5"/>
        <v>0</v>
      </c>
      <c r="Q27" s="201">
        <f t="shared" si="5"/>
        <v>0</v>
      </c>
      <c r="R27" s="201">
        <f t="shared" si="5"/>
        <v>0</v>
      </c>
      <c r="S27" s="201">
        <f t="shared" si="5"/>
        <v>0</v>
      </c>
      <c r="T27" s="201">
        <f t="shared" si="5"/>
        <v>0</v>
      </c>
      <c r="U27" s="201">
        <f t="shared" si="5"/>
        <v>0</v>
      </c>
      <c r="V27" s="201">
        <f t="shared" si="5"/>
        <v>0</v>
      </c>
      <c r="W27" s="201">
        <f t="shared" si="5"/>
        <v>0</v>
      </c>
      <c r="X27" s="201">
        <f t="shared" si="5"/>
        <v>0</v>
      </c>
      <c r="Y27" s="202">
        <f t="shared" si="5"/>
        <v>0</v>
      </c>
      <c r="Z27" s="9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6"/>
    </row>
    <row r="28" spans="1:56" s="99" customFormat="1" ht="12.75" thickBot="1" x14ac:dyDescent="0.25">
      <c r="A28" s="98"/>
      <c r="B28" s="98"/>
      <c r="C28" s="98"/>
      <c r="D28" s="98"/>
      <c r="E28" s="581" t="s">
        <v>331</v>
      </c>
      <c r="F28" s="201">
        <f t="shared" ref="F28:Y28" si="6">SUMPRODUCT(F7:F25,$AE$7:$AE$25)*F$4/12</f>
        <v>4796</v>
      </c>
      <c r="G28" s="201">
        <f t="shared" si="6"/>
        <v>0</v>
      </c>
      <c r="H28" s="201">
        <f t="shared" si="6"/>
        <v>0</v>
      </c>
      <c r="I28" s="201">
        <f t="shared" si="6"/>
        <v>0</v>
      </c>
      <c r="J28" s="201">
        <f t="shared" si="6"/>
        <v>0</v>
      </c>
      <c r="K28" s="201">
        <f t="shared" si="6"/>
        <v>0</v>
      </c>
      <c r="L28" s="201">
        <f t="shared" si="6"/>
        <v>0</v>
      </c>
      <c r="M28" s="201">
        <f t="shared" si="6"/>
        <v>0</v>
      </c>
      <c r="N28" s="201">
        <f t="shared" si="6"/>
        <v>0</v>
      </c>
      <c r="O28" s="201">
        <f t="shared" si="6"/>
        <v>0</v>
      </c>
      <c r="P28" s="201">
        <f t="shared" si="6"/>
        <v>0</v>
      </c>
      <c r="Q28" s="201">
        <f t="shared" si="6"/>
        <v>0</v>
      </c>
      <c r="R28" s="201">
        <f t="shared" si="6"/>
        <v>0</v>
      </c>
      <c r="S28" s="201">
        <f t="shared" si="6"/>
        <v>0</v>
      </c>
      <c r="T28" s="201">
        <f t="shared" si="6"/>
        <v>0</v>
      </c>
      <c r="U28" s="201">
        <f t="shared" si="6"/>
        <v>0</v>
      </c>
      <c r="V28" s="201">
        <f t="shared" si="6"/>
        <v>0</v>
      </c>
      <c r="W28" s="201">
        <f t="shared" si="6"/>
        <v>0</v>
      </c>
      <c r="X28" s="201">
        <f t="shared" si="6"/>
        <v>0</v>
      </c>
      <c r="Y28" s="202">
        <f t="shared" si="6"/>
        <v>0</v>
      </c>
      <c r="Z28" s="97"/>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6"/>
    </row>
    <row r="29" spans="1:56" x14ac:dyDescent="0.2">
      <c r="A29" s="576"/>
      <c r="B29" s="98"/>
      <c r="C29" s="98"/>
      <c r="D29" s="98"/>
      <c r="E29" s="98"/>
      <c r="F29" s="576"/>
      <c r="G29" s="576"/>
      <c r="H29" s="576"/>
      <c r="I29" s="576"/>
      <c r="J29" s="576"/>
      <c r="K29" s="576"/>
      <c r="L29" s="576"/>
      <c r="M29" s="576"/>
      <c r="N29" s="576"/>
      <c r="O29" s="576"/>
      <c r="P29" s="576"/>
      <c r="Q29" s="576"/>
      <c r="R29" s="576"/>
      <c r="S29" s="576"/>
      <c r="T29" s="576"/>
      <c r="U29" s="576"/>
      <c r="V29" s="576"/>
      <c r="W29" s="576"/>
      <c r="X29" s="576"/>
      <c r="Y29" s="576"/>
      <c r="Z29" s="98"/>
      <c r="AA29" s="98"/>
      <c r="AB29" s="98"/>
      <c r="AC29" s="98"/>
      <c r="AD29" s="98"/>
      <c r="AE29" s="98"/>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7"/>
    </row>
    <row r="30" spans="1:56" x14ac:dyDescent="0.2">
      <c r="A30" s="576"/>
      <c r="B30" s="98"/>
      <c r="C30" s="98"/>
      <c r="D30" s="98"/>
      <c r="E30" s="98"/>
      <c r="F30" s="576"/>
      <c r="G30" s="576"/>
      <c r="H30" s="576"/>
      <c r="I30" s="576"/>
      <c r="J30" s="576"/>
      <c r="K30" s="576"/>
      <c r="L30" s="576"/>
      <c r="M30" s="576"/>
      <c r="N30" s="576"/>
      <c r="O30" s="576"/>
      <c r="P30" s="576"/>
      <c r="Q30" s="576"/>
      <c r="R30" s="576"/>
      <c r="S30" s="576"/>
      <c r="T30" s="576"/>
      <c r="U30" s="576"/>
      <c r="V30" s="576"/>
      <c r="W30" s="576"/>
      <c r="X30" s="576"/>
      <c r="Y30" s="576"/>
      <c r="Z30" s="98"/>
      <c r="AA30" s="98"/>
      <c r="AB30" s="98"/>
      <c r="AC30" s="98"/>
      <c r="AD30" s="98"/>
      <c r="AE30" s="98"/>
      <c r="AF30" s="576"/>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7"/>
    </row>
    <row r="31" spans="1:56" x14ac:dyDescent="0.2">
      <c r="A31" s="576"/>
      <c r="B31" s="98"/>
      <c r="C31" s="98"/>
      <c r="D31" s="98"/>
      <c r="E31" s="98"/>
      <c r="F31" s="576"/>
      <c r="G31" s="576"/>
      <c r="H31" s="576"/>
      <c r="I31" s="576"/>
      <c r="J31" s="576"/>
      <c r="K31" s="576"/>
      <c r="L31" s="576"/>
      <c r="M31" s="576"/>
      <c r="N31" s="576"/>
      <c r="O31" s="576"/>
      <c r="P31" s="576"/>
      <c r="Q31" s="576"/>
      <c r="R31" s="576"/>
      <c r="S31" s="576"/>
      <c r="T31" s="576"/>
      <c r="U31" s="576"/>
      <c r="V31" s="576"/>
      <c r="W31" s="576"/>
      <c r="X31" s="576"/>
      <c r="Y31" s="576"/>
      <c r="Z31" s="98"/>
      <c r="AA31" s="98"/>
      <c r="AB31" s="98"/>
      <c r="AC31" s="98"/>
      <c r="AD31" s="98"/>
      <c r="AE31" s="98"/>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7"/>
    </row>
    <row r="32" spans="1:56" x14ac:dyDescent="0.2">
      <c r="A32" s="576"/>
      <c r="B32" s="98"/>
      <c r="C32" s="98"/>
      <c r="D32" s="98"/>
      <c r="E32" s="98"/>
      <c r="F32" s="576"/>
      <c r="G32" s="576"/>
      <c r="H32" s="576"/>
      <c r="I32" s="576"/>
      <c r="J32" s="576"/>
      <c r="K32" s="576"/>
      <c r="L32" s="576"/>
      <c r="M32" s="576"/>
      <c r="N32" s="576"/>
      <c r="O32" s="576"/>
      <c r="P32" s="576"/>
      <c r="Q32" s="576"/>
      <c r="R32" s="576"/>
      <c r="S32" s="576"/>
      <c r="T32" s="576"/>
      <c r="U32" s="576"/>
      <c r="V32" s="576"/>
      <c r="W32" s="576"/>
      <c r="X32" s="576"/>
      <c r="Y32" s="576"/>
      <c r="Z32" s="98"/>
      <c r="AA32" s="98"/>
      <c r="AB32" s="98"/>
      <c r="AC32" s="98"/>
      <c r="AD32" s="98"/>
      <c r="AE32" s="98"/>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7"/>
    </row>
    <row r="33" spans="1:56" x14ac:dyDescent="0.2">
      <c r="A33" s="576"/>
      <c r="B33" s="98"/>
      <c r="C33" s="98"/>
      <c r="D33" s="98"/>
      <c r="E33" s="98"/>
      <c r="F33" s="576"/>
      <c r="G33" s="576"/>
      <c r="H33" s="576"/>
      <c r="I33" s="576"/>
      <c r="J33" s="576"/>
      <c r="K33" s="576"/>
      <c r="L33" s="576"/>
      <c r="M33" s="576"/>
      <c r="N33" s="576"/>
      <c r="O33" s="576"/>
      <c r="P33" s="576"/>
      <c r="Q33" s="576"/>
      <c r="R33" s="576"/>
      <c r="S33" s="576"/>
      <c r="T33" s="576"/>
      <c r="U33" s="576"/>
      <c r="V33" s="576"/>
      <c r="W33" s="576"/>
      <c r="X33" s="576"/>
      <c r="Y33" s="576"/>
      <c r="Z33" s="98"/>
      <c r="AA33" s="98"/>
      <c r="AB33" s="98"/>
      <c r="AC33" s="98"/>
      <c r="AD33" s="98"/>
      <c r="AE33" s="98"/>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7"/>
    </row>
    <row r="34" spans="1:56" x14ac:dyDescent="0.2">
      <c r="A34" s="576"/>
      <c r="B34" s="98"/>
      <c r="C34" s="98"/>
      <c r="D34" s="98"/>
      <c r="E34" s="98"/>
      <c r="F34" s="576"/>
      <c r="G34" s="576"/>
      <c r="H34" s="576"/>
      <c r="I34" s="576"/>
      <c r="J34" s="576"/>
      <c r="K34" s="576"/>
      <c r="L34" s="576"/>
      <c r="M34" s="576"/>
      <c r="N34" s="576"/>
      <c r="O34" s="576"/>
      <c r="P34" s="576"/>
      <c r="Q34" s="576"/>
      <c r="R34" s="576"/>
      <c r="S34" s="576"/>
      <c r="T34" s="576"/>
      <c r="U34" s="576"/>
      <c r="V34" s="576"/>
      <c r="W34" s="576"/>
      <c r="X34" s="576"/>
      <c r="Y34" s="576"/>
      <c r="Z34" s="98"/>
      <c r="AA34" s="98"/>
      <c r="AB34" s="98"/>
      <c r="AC34" s="98"/>
      <c r="AD34" s="98"/>
      <c r="AE34" s="98"/>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7"/>
    </row>
    <row r="35" spans="1:56" x14ac:dyDescent="0.2">
      <c r="A35" s="576"/>
      <c r="B35" s="98"/>
      <c r="C35" s="98"/>
      <c r="D35" s="98"/>
      <c r="E35" s="98"/>
      <c r="F35" s="576"/>
      <c r="G35" s="576"/>
      <c r="H35" s="576"/>
      <c r="I35" s="576"/>
      <c r="J35" s="576"/>
      <c r="K35" s="576"/>
      <c r="L35" s="576"/>
      <c r="M35" s="576"/>
      <c r="N35" s="576"/>
      <c r="O35" s="576"/>
      <c r="P35" s="576"/>
      <c r="Q35" s="576"/>
      <c r="R35" s="576"/>
      <c r="S35" s="576"/>
      <c r="T35" s="576"/>
      <c r="U35" s="576"/>
      <c r="V35" s="576"/>
      <c r="W35" s="576"/>
      <c r="X35" s="576"/>
      <c r="Y35" s="576"/>
      <c r="Z35" s="98"/>
      <c r="AA35" s="98"/>
      <c r="AB35" s="98"/>
      <c r="AC35" s="98"/>
      <c r="AD35" s="98"/>
      <c r="AE35" s="98"/>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7"/>
    </row>
    <row r="36" spans="1:56" x14ac:dyDescent="0.2">
      <c r="A36" s="576"/>
      <c r="B36" s="98"/>
      <c r="C36" s="98"/>
      <c r="D36" s="98"/>
      <c r="E36" s="98"/>
      <c r="F36" s="576"/>
      <c r="G36" s="576"/>
      <c r="H36" s="576"/>
      <c r="I36" s="576"/>
      <c r="J36" s="576"/>
      <c r="K36" s="576"/>
      <c r="L36" s="576"/>
      <c r="M36" s="576"/>
      <c r="N36" s="576"/>
      <c r="O36" s="576"/>
      <c r="P36" s="576"/>
      <c r="Q36" s="576"/>
      <c r="R36" s="576"/>
      <c r="S36" s="576"/>
      <c r="T36" s="576"/>
      <c r="U36" s="576"/>
      <c r="V36" s="576"/>
      <c r="W36" s="576"/>
      <c r="X36" s="576"/>
      <c r="Y36" s="576"/>
      <c r="Z36" s="98"/>
      <c r="AA36" s="98"/>
      <c r="AB36" s="98"/>
      <c r="AC36" s="98"/>
      <c r="AD36" s="98"/>
      <c r="AE36" s="98"/>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7"/>
    </row>
    <row r="37" spans="1:56" x14ac:dyDescent="0.2">
      <c r="A37" s="576"/>
      <c r="B37" s="98"/>
      <c r="C37" s="98"/>
      <c r="D37" s="98"/>
      <c r="E37" s="98"/>
      <c r="F37" s="576"/>
      <c r="G37" s="576"/>
      <c r="H37" s="576"/>
      <c r="I37" s="576"/>
      <c r="J37" s="576"/>
      <c r="K37" s="576"/>
      <c r="L37" s="576"/>
      <c r="M37" s="576"/>
      <c r="N37" s="576"/>
      <c r="O37" s="576"/>
      <c r="P37" s="576"/>
      <c r="Q37" s="576"/>
      <c r="R37" s="576"/>
      <c r="S37" s="576"/>
      <c r="T37" s="576"/>
      <c r="U37" s="576"/>
      <c r="V37" s="576"/>
      <c r="W37" s="576"/>
      <c r="X37" s="576"/>
      <c r="Y37" s="576"/>
      <c r="Z37" s="98"/>
      <c r="AA37" s="98"/>
      <c r="AB37" s="98"/>
      <c r="AC37" s="98"/>
      <c r="AD37" s="98"/>
      <c r="AE37" s="98"/>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7"/>
    </row>
    <row r="38" spans="1:56" x14ac:dyDescent="0.2">
      <c r="A38" s="576"/>
      <c r="B38" s="98"/>
      <c r="C38" s="98"/>
      <c r="D38" s="98"/>
      <c r="E38" s="98"/>
      <c r="F38" s="576"/>
      <c r="G38" s="576"/>
      <c r="H38" s="576"/>
      <c r="I38" s="576"/>
      <c r="J38" s="576"/>
      <c r="K38" s="576"/>
      <c r="L38" s="576"/>
      <c r="M38" s="576"/>
      <c r="N38" s="576"/>
      <c r="O38" s="576"/>
      <c r="P38" s="576"/>
      <c r="Q38" s="576"/>
      <c r="R38" s="576"/>
      <c r="S38" s="576"/>
      <c r="T38" s="576"/>
      <c r="U38" s="576"/>
      <c r="V38" s="576"/>
      <c r="W38" s="576"/>
      <c r="X38" s="576"/>
      <c r="Y38" s="576"/>
      <c r="Z38" s="98"/>
      <c r="AA38" s="98"/>
      <c r="AB38" s="98"/>
      <c r="AC38" s="98"/>
      <c r="AD38" s="98"/>
      <c r="AE38" s="98"/>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7"/>
    </row>
    <row r="39" spans="1:56" x14ac:dyDescent="0.2">
      <c r="A39" s="576"/>
      <c r="B39" s="98"/>
      <c r="C39" s="98"/>
      <c r="D39" s="98"/>
      <c r="E39" s="98"/>
      <c r="F39" s="576"/>
      <c r="G39" s="576"/>
      <c r="H39" s="576"/>
      <c r="I39" s="576"/>
      <c r="J39" s="576"/>
      <c r="K39" s="576"/>
      <c r="L39" s="576"/>
      <c r="M39" s="576"/>
      <c r="N39" s="576"/>
      <c r="O39" s="576"/>
      <c r="P39" s="576"/>
      <c r="Q39" s="576"/>
      <c r="R39" s="576"/>
      <c r="S39" s="576"/>
      <c r="T39" s="576"/>
      <c r="U39" s="576"/>
      <c r="V39" s="576"/>
      <c r="W39" s="576"/>
      <c r="X39" s="576"/>
      <c r="Y39" s="576"/>
      <c r="Z39" s="98"/>
      <c r="AA39" s="98"/>
      <c r="AB39" s="98"/>
      <c r="AC39" s="98"/>
      <c r="AD39" s="98"/>
      <c r="AE39" s="98"/>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7"/>
    </row>
    <row r="40" spans="1:56" x14ac:dyDescent="0.2">
      <c r="A40" s="576"/>
      <c r="B40" s="98"/>
      <c r="C40" s="98"/>
      <c r="D40" s="98"/>
      <c r="E40" s="98"/>
      <c r="F40" s="576"/>
      <c r="G40" s="576"/>
      <c r="H40" s="576"/>
      <c r="I40" s="576"/>
      <c r="J40" s="576"/>
      <c r="K40" s="576"/>
      <c r="L40" s="576"/>
      <c r="M40" s="576"/>
      <c r="N40" s="576"/>
      <c r="O40" s="576"/>
      <c r="P40" s="576"/>
      <c r="Q40" s="576"/>
      <c r="R40" s="576"/>
      <c r="S40" s="576"/>
      <c r="T40" s="576"/>
      <c r="U40" s="576"/>
      <c r="V40" s="576"/>
      <c r="W40" s="576"/>
      <c r="X40" s="576"/>
      <c r="Y40" s="576"/>
      <c r="Z40" s="98"/>
      <c r="AA40" s="98"/>
      <c r="AB40" s="98"/>
      <c r="AC40" s="98"/>
      <c r="AD40" s="98"/>
      <c r="AE40" s="98"/>
      <c r="AF40" s="576"/>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7"/>
    </row>
    <row r="41" spans="1:56" x14ac:dyDescent="0.2">
      <c r="A41" s="576"/>
      <c r="B41" s="98"/>
      <c r="C41" s="98"/>
      <c r="D41" s="98"/>
      <c r="E41" s="98"/>
      <c r="F41" s="576"/>
      <c r="G41" s="576"/>
      <c r="H41" s="576"/>
      <c r="I41" s="576"/>
      <c r="J41" s="576"/>
      <c r="K41" s="576"/>
      <c r="L41" s="576"/>
      <c r="M41" s="576"/>
      <c r="N41" s="576"/>
      <c r="O41" s="576"/>
      <c r="P41" s="576"/>
      <c r="Q41" s="576"/>
      <c r="R41" s="576"/>
      <c r="S41" s="576"/>
      <c r="T41" s="576"/>
      <c r="U41" s="576"/>
      <c r="V41" s="576"/>
      <c r="W41" s="576"/>
      <c r="X41" s="576"/>
      <c r="Y41" s="576"/>
      <c r="Z41" s="98"/>
      <c r="AA41" s="98"/>
      <c r="AB41" s="98"/>
      <c r="AC41" s="98"/>
      <c r="AD41" s="98"/>
      <c r="AE41" s="98"/>
      <c r="AF41" s="576"/>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7"/>
    </row>
    <row r="42" spans="1:56" x14ac:dyDescent="0.2">
      <c r="A42" s="576"/>
      <c r="B42" s="98"/>
      <c r="C42" s="98"/>
      <c r="D42" s="98"/>
      <c r="E42" s="98"/>
      <c r="F42" s="576"/>
      <c r="G42" s="576"/>
      <c r="H42" s="576"/>
      <c r="I42" s="576"/>
      <c r="J42" s="576"/>
      <c r="K42" s="576"/>
      <c r="L42" s="576"/>
      <c r="M42" s="576"/>
      <c r="N42" s="576"/>
      <c r="O42" s="576"/>
      <c r="P42" s="576"/>
      <c r="Q42" s="576"/>
      <c r="R42" s="576"/>
      <c r="S42" s="576"/>
      <c r="T42" s="576"/>
      <c r="U42" s="576"/>
      <c r="V42" s="576"/>
      <c r="W42" s="576"/>
      <c r="X42" s="576"/>
      <c r="Y42" s="576"/>
      <c r="Z42" s="98"/>
      <c r="AA42" s="98"/>
      <c r="AB42" s="98"/>
      <c r="AC42" s="98"/>
      <c r="AD42" s="98"/>
      <c r="AE42" s="98"/>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7"/>
    </row>
    <row r="43" spans="1:56" x14ac:dyDescent="0.2">
      <c r="A43" s="576"/>
      <c r="B43" s="98"/>
      <c r="C43" s="98"/>
      <c r="D43" s="98"/>
      <c r="E43" s="98"/>
      <c r="F43" s="576"/>
      <c r="G43" s="576"/>
      <c r="H43" s="576"/>
      <c r="I43" s="576"/>
      <c r="J43" s="576"/>
      <c r="K43" s="576"/>
      <c r="L43" s="576"/>
      <c r="M43" s="576"/>
      <c r="N43" s="576"/>
      <c r="O43" s="576"/>
      <c r="P43" s="576"/>
      <c r="Q43" s="576"/>
      <c r="R43" s="576"/>
      <c r="S43" s="576"/>
      <c r="T43" s="576"/>
      <c r="U43" s="576"/>
      <c r="V43" s="576"/>
      <c r="W43" s="576"/>
      <c r="X43" s="576"/>
      <c r="Y43" s="576"/>
      <c r="Z43" s="98"/>
      <c r="AA43" s="98"/>
      <c r="AB43" s="98"/>
      <c r="AC43" s="98"/>
      <c r="AD43" s="98"/>
      <c r="AE43" s="98"/>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7"/>
    </row>
    <row r="44" spans="1:56" x14ac:dyDescent="0.2">
      <c r="A44" s="576"/>
      <c r="B44" s="98"/>
      <c r="C44" s="98"/>
      <c r="D44" s="98"/>
      <c r="E44" s="98"/>
      <c r="F44" s="576"/>
      <c r="G44" s="576"/>
      <c r="H44" s="576"/>
      <c r="I44" s="576"/>
      <c r="J44" s="576"/>
      <c r="K44" s="576"/>
      <c r="L44" s="576"/>
      <c r="M44" s="576"/>
      <c r="N44" s="576"/>
      <c r="O44" s="576"/>
      <c r="P44" s="576"/>
      <c r="Q44" s="576"/>
      <c r="R44" s="576"/>
      <c r="S44" s="576"/>
      <c r="T44" s="576"/>
      <c r="U44" s="576"/>
      <c r="V44" s="576"/>
      <c r="W44" s="576"/>
      <c r="X44" s="576"/>
      <c r="Y44" s="576"/>
      <c r="Z44" s="98"/>
      <c r="AA44" s="98"/>
      <c r="AB44" s="98"/>
      <c r="AC44" s="98"/>
      <c r="AD44" s="98"/>
      <c r="AE44" s="98"/>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7"/>
    </row>
    <row r="45" spans="1:56" x14ac:dyDescent="0.2">
      <c r="A45" s="576"/>
      <c r="B45" s="98"/>
      <c r="C45" s="98"/>
      <c r="D45" s="98"/>
      <c r="E45" s="98"/>
      <c r="F45" s="576"/>
      <c r="G45" s="576"/>
      <c r="H45" s="576"/>
      <c r="I45" s="576"/>
      <c r="J45" s="576"/>
      <c r="K45" s="576"/>
      <c r="L45" s="576"/>
      <c r="M45" s="576"/>
      <c r="N45" s="576"/>
      <c r="O45" s="576"/>
      <c r="P45" s="576"/>
      <c r="Q45" s="576"/>
      <c r="R45" s="576"/>
      <c r="S45" s="576"/>
      <c r="T45" s="576"/>
      <c r="U45" s="576"/>
      <c r="V45" s="576"/>
      <c r="W45" s="576"/>
      <c r="X45" s="576"/>
      <c r="Y45" s="576"/>
      <c r="Z45" s="98"/>
      <c r="AA45" s="98"/>
      <c r="AB45" s="98"/>
      <c r="AC45" s="98"/>
      <c r="AD45" s="98"/>
      <c r="AE45" s="98"/>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7"/>
    </row>
    <row r="46" spans="1:56" x14ac:dyDescent="0.2">
      <c r="A46" s="576"/>
      <c r="B46" s="98"/>
      <c r="C46" s="98"/>
      <c r="D46" s="98"/>
      <c r="E46" s="98"/>
      <c r="F46" s="576"/>
      <c r="G46" s="576"/>
      <c r="H46" s="576"/>
      <c r="I46" s="576"/>
      <c r="J46" s="576"/>
      <c r="K46" s="576"/>
      <c r="L46" s="576"/>
      <c r="M46" s="576"/>
      <c r="N46" s="576"/>
      <c r="O46" s="576"/>
      <c r="P46" s="576"/>
      <c r="Q46" s="576"/>
      <c r="R46" s="576"/>
      <c r="S46" s="576"/>
      <c r="T46" s="576"/>
      <c r="U46" s="576"/>
      <c r="V46" s="576"/>
      <c r="W46" s="576"/>
      <c r="X46" s="576"/>
      <c r="Y46" s="576"/>
      <c r="Z46" s="98"/>
      <c r="AA46" s="98"/>
      <c r="AB46" s="98"/>
      <c r="AC46" s="98"/>
      <c r="AD46" s="98"/>
      <c r="AE46" s="98"/>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7"/>
    </row>
    <row r="47" spans="1:56" x14ac:dyDescent="0.2">
      <c r="A47" s="576"/>
      <c r="B47" s="98"/>
      <c r="C47" s="98"/>
      <c r="D47" s="98"/>
      <c r="E47" s="98"/>
      <c r="F47" s="576"/>
      <c r="G47" s="576"/>
      <c r="H47" s="576"/>
      <c r="I47" s="576"/>
      <c r="J47" s="576"/>
      <c r="K47" s="576"/>
      <c r="L47" s="576"/>
      <c r="M47" s="576"/>
      <c r="N47" s="576"/>
      <c r="O47" s="576"/>
      <c r="P47" s="576"/>
      <c r="Q47" s="576"/>
      <c r="R47" s="576"/>
      <c r="S47" s="576"/>
      <c r="T47" s="576"/>
      <c r="U47" s="576"/>
      <c r="V47" s="576"/>
      <c r="W47" s="576"/>
      <c r="X47" s="576"/>
      <c r="Y47" s="576"/>
      <c r="Z47" s="98"/>
      <c r="AA47" s="98"/>
      <c r="AB47" s="98"/>
      <c r="AC47" s="98"/>
      <c r="AD47" s="98"/>
      <c r="AE47" s="98"/>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7"/>
    </row>
    <row r="48" spans="1:56" x14ac:dyDescent="0.2">
      <c r="A48" s="576"/>
      <c r="B48" s="98"/>
      <c r="C48" s="98"/>
      <c r="D48" s="98"/>
      <c r="E48" s="98"/>
      <c r="F48" s="576"/>
      <c r="G48" s="576"/>
      <c r="H48" s="576"/>
      <c r="I48" s="576"/>
      <c r="J48" s="576"/>
      <c r="K48" s="576"/>
      <c r="L48" s="576"/>
      <c r="M48" s="576"/>
      <c r="N48" s="576"/>
      <c r="O48" s="576"/>
      <c r="P48" s="576"/>
      <c r="Q48" s="576"/>
      <c r="R48" s="576"/>
      <c r="S48" s="576"/>
      <c r="T48" s="576"/>
      <c r="U48" s="576"/>
      <c r="V48" s="576"/>
      <c r="W48" s="576"/>
      <c r="X48" s="576"/>
      <c r="Y48" s="576"/>
      <c r="Z48" s="98"/>
      <c r="AA48" s="98"/>
      <c r="AB48" s="98"/>
      <c r="AC48" s="98"/>
      <c r="AD48" s="98"/>
      <c r="AE48" s="98"/>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7"/>
    </row>
    <row r="49" spans="1:56" x14ac:dyDescent="0.2">
      <c r="A49" s="576"/>
      <c r="B49" s="98"/>
      <c r="C49" s="98"/>
      <c r="D49" s="98"/>
      <c r="E49" s="98"/>
      <c r="F49" s="576"/>
      <c r="G49" s="576"/>
      <c r="H49" s="576"/>
      <c r="I49" s="576"/>
      <c r="J49" s="576"/>
      <c r="K49" s="576"/>
      <c r="L49" s="576"/>
      <c r="M49" s="576"/>
      <c r="N49" s="576"/>
      <c r="O49" s="576"/>
      <c r="P49" s="576"/>
      <c r="Q49" s="576"/>
      <c r="R49" s="576"/>
      <c r="S49" s="576"/>
      <c r="T49" s="576"/>
      <c r="U49" s="576"/>
      <c r="V49" s="576"/>
      <c r="W49" s="576"/>
      <c r="X49" s="576"/>
      <c r="Y49" s="576"/>
      <c r="Z49" s="98"/>
      <c r="AA49" s="98"/>
      <c r="AB49" s="98"/>
      <c r="AC49" s="98"/>
      <c r="AD49" s="98"/>
      <c r="AE49" s="98"/>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7"/>
    </row>
    <row r="50" spans="1:56" x14ac:dyDescent="0.2">
      <c r="A50" s="576"/>
      <c r="B50" s="98"/>
      <c r="C50" s="98"/>
      <c r="D50" s="98"/>
      <c r="E50" s="98"/>
      <c r="F50" s="576"/>
      <c r="G50" s="576"/>
      <c r="H50" s="576"/>
      <c r="I50" s="576"/>
      <c r="J50" s="576"/>
      <c r="K50" s="576"/>
      <c r="L50" s="576"/>
      <c r="M50" s="576"/>
      <c r="N50" s="576"/>
      <c r="O50" s="576"/>
      <c r="P50" s="576"/>
      <c r="Q50" s="576"/>
      <c r="R50" s="576"/>
      <c r="S50" s="576"/>
      <c r="T50" s="576"/>
      <c r="U50" s="576"/>
      <c r="V50" s="576"/>
      <c r="W50" s="576"/>
      <c r="X50" s="576"/>
      <c r="Y50" s="576"/>
      <c r="Z50" s="98"/>
      <c r="AA50" s="98"/>
      <c r="AB50" s="98"/>
      <c r="AC50" s="98"/>
      <c r="AD50" s="98"/>
      <c r="AE50" s="98"/>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7"/>
    </row>
    <row r="51" spans="1:56" x14ac:dyDescent="0.2">
      <c r="A51" s="576"/>
      <c r="B51" s="98"/>
      <c r="C51" s="98"/>
      <c r="D51" s="98"/>
      <c r="E51" s="98"/>
      <c r="F51" s="576"/>
      <c r="G51" s="576"/>
      <c r="H51" s="576"/>
      <c r="I51" s="576"/>
      <c r="J51" s="576"/>
      <c r="K51" s="576"/>
      <c r="L51" s="576"/>
      <c r="M51" s="576"/>
      <c r="N51" s="576"/>
      <c r="O51" s="576"/>
      <c r="P51" s="576"/>
      <c r="Q51" s="576"/>
      <c r="R51" s="576"/>
      <c r="S51" s="576"/>
      <c r="T51" s="576"/>
      <c r="U51" s="576"/>
      <c r="V51" s="576"/>
      <c r="W51" s="576"/>
      <c r="X51" s="576"/>
      <c r="Y51" s="576"/>
      <c r="Z51" s="98"/>
      <c r="AA51" s="98"/>
      <c r="AB51" s="98"/>
      <c r="AC51" s="98"/>
      <c r="AD51" s="98"/>
      <c r="AE51" s="98"/>
      <c r="AF51" s="576"/>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7"/>
    </row>
    <row r="52" spans="1:56" x14ac:dyDescent="0.2">
      <c r="A52" s="576"/>
      <c r="B52" s="98"/>
      <c r="C52" s="98"/>
      <c r="D52" s="98"/>
      <c r="E52" s="98"/>
      <c r="F52" s="576"/>
      <c r="G52" s="576"/>
      <c r="H52" s="576"/>
      <c r="I52" s="576"/>
      <c r="J52" s="576"/>
      <c r="K52" s="576"/>
      <c r="L52" s="576"/>
      <c r="M52" s="576"/>
      <c r="N52" s="576"/>
      <c r="O52" s="576"/>
      <c r="P52" s="576"/>
      <c r="Q52" s="576"/>
      <c r="R52" s="576"/>
      <c r="S52" s="576"/>
      <c r="T52" s="576"/>
      <c r="U52" s="576"/>
      <c r="V52" s="576"/>
      <c r="W52" s="576"/>
      <c r="X52" s="576"/>
      <c r="Y52" s="576"/>
      <c r="Z52" s="98"/>
      <c r="AA52" s="98"/>
      <c r="AB52" s="98"/>
      <c r="AC52" s="98"/>
      <c r="AD52" s="98"/>
      <c r="AE52" s="98"/>
      <c r="AF52" s="576"/>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7"/>
    </row>
    <row r="53" spans="1:56" x14ac:dyDescent="0.2">
      <c r="A53" s="576"/>
      <c r="B53" s="98"/>
      <c r="C53" s="98"/>
      <c r="D53" s="98"/>
      <c r="E53" s="98"/>
      <c r="F53" s="576"/>
      <c r="G53" s="576"/>
      <c r="H53" s="576"/>
      <c r="I53" s="576"/>
      <c r="J53" s="576"/>
      <c r="K53" s="576"/>
      <c r="L53" s="576"/>
      <c r="M53" s="576"/>
      <c r="N53" s="576"/>
      <c r="O53" s="576"/>
      <c r="P53" s="576"/>
      <c r="Q53" s="576"/>
      <c r="R53" s="576"/>
      <c r="S53" s="576"/>
      <c r="T53" s="576"/>
      <c r="U53" s="576"/>
      <c r="V53" s="576"/>
      <c r="W53" s="576"/>
      <c r="X53" s="576"/>
      <c r="Y53" s="576"/>
      <c r="Z53" s="98"/>
      <c r="AA53" s="98"/>
      <c r="AB53" s="98"/>
      <c r="AC53" s="98"/>
      <c r="AD53" s="98"/>
      <c r="AE53" s="98"/>
      <c r="AF53" s="576"/>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7"/>
    </row>
    <row r="54" spans="1:56" x14ac:dyDescent="0.2">
      <c r="A54" s="576"/>
      <c r="B54" s="98"/>
      <c r="C54" s="98"/>
      <c r="D54" s="98"/>
      <c r="E54" s="98"/>
      <c r="F54" s="576"/>
      <c r="G54" s="576"/>
      <c r="H54" s="576"/>
      <c r="I54" s="576"/>
      <c r="J54" s="576"/>
      <c r="K54" s="576"/>
      <c r="L54" s="576"/>
      <c r="M54" s="576"/>
      <c r="N54" s="576"/>
      <c r="O54" s="576"/>
      <c r="P54" s="576"/>
      <c r="Q54" s="576"/>
      <c r="R54" s="576"/>
      <c r="S54" s="576"/>
      <c r="T54" s="576"/>
      <c r="U54" s="576"/>
      <c r="V54" s="576"/>
      <c r="W54" s="576"/>
      <c r="X54" s="576"/>
      <c r="Y54" s="576"/>
      <c r="Z54" s="98"/>
      <c r="AA54" s="98"/>
      <c r="AB54" s="98"/>
      <c r="AC54" s="98"/>
      <c r="AD54" s="98"/>
      <c r="AE54" s="98"/>
      <c r="AF54" s="576"/>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7"/>
    </row>
    <row r="55" spans="1:56" x14ac:dyDescent="0.2">
      <c r="A55" s="576"/>
      <c r="B55" s="98"/>
      <c r="C55" s="98"/>
      <c r="D55" s="98"/>
      <c r="E55" s="98"/>
      <c r="F55" s="576"/>
      <c r="G55" s="576"/>
      <c r="H55" s="576"/>
      <c r="I55" s="576"/>
      <c r="J55" s="576"/>
      <c r="K55" s="576"/>
      <c r="L55" s="576"/>
      <c r="M55" s="576"/>
      <c r="N55" s="576"/>
      <c r="O55" s="576"/>
      <c r="P55" s="576"/>
      <c r="Q55" s="576"/>
      <c r="R55" s="576"/>
      <c r="S55" s="576"/>
      <c r="T55" s="576"/>
      <c r="U55" s="576"/>
      <c r="V55" s="576"/>
      <c r="W55" s="576"/>
      <c r="X55" s="576"/>
      <c r="Y55" s="576"/>
      <c r="Z55" s="98"/>
      <c r="AA55" s="98"/>
      <c r="AB55" s="98"/>
      <c r="AC55" s="98"/>
      <c r="AD55" s="98"/>
      <c r="AE55" s="98"/>
      <c r="AF55" s="576"/>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7"/>
    </row>
    <row r="56" spans="1:56" x14ac:dyDescent="0.2">
      <c r="A56" s="576"/>
      <c r="B56" s="98"/>
      <c r="C56" s="98"/>
      <c r="D56" s="98"/>
      <c r="E56" s="98"/>
      <c r="F56" s="576"/>
      <c r="G56" s="576"/>
      <c r="H56" s="576"/>
      <c r="I56" s="576"/>
      <c r="J56" s="576"/>
      <c r="K56" s="576"/>
      <c r="L56" s="576"/>
      <c r="M56" s="576"/>
      <c r="N56" s="576"/>
      <c r="O56" s="576"/>
      <c r="P56" s="576"/>
      <c r="Q56" s="576"/>
      <c r="R56" s="576"/>
      <c r="S56" s="576"/>
      <c r="T56" s="576"/>
      <c r="U56" s="576"/>
      <c r="V56" s="576"/>
      <c r="W56" s="576"/>
      <c r="X56" s="576"/>
      <c r="Y56" s="576"/>
      <c r="Z56" s="98"/>
      <c r="AA56" s="98"/>
      <c r="AB56" s="98"/>
      <c r="AC56" s="98"/>
      <c r="AD56" s="98"/>
      <c r="AE56" s="98"/>
      <c r="AF56" s="576"/>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7"/>
    </row>
    <row r="57" spans="1:56" x14ac:dyDescent="0.2">
      <c r="A57" s="576"/>
      <c r="B57" s="98"/>
      <c r="C57" s="98"/>
      <c r="D57" s="98"/>
      <c r="E57" s="98"/>
      <c r="F57" s="576"/>
      <c r="G57" s="576"/>
      <c r="H57" s="576"/>
      <c r="I57" s="576"/>
      <c r="J57" s="576"/>
      <c r="K57" s="576"/>
      <c r="L57" s="576"/>
      <c r="M57" s="576"/>
      <c r="N57" s="576"/>
      <c r="O57" s="576"/>
      <c r="P57" s="576"/>
      <c r="Q57" s="576"/>
      <c r="R57" s="576"/>
      <c r="S57" s="576"/>
      <c r="T57" s="576"/>
      <c r="U57" s="576"/>
      <c r="V57" s="576"/>
      <c r="W57" s="576"/>
      <c r="X57" s="576"/>
      <c r="Y57" s="576"/>
      <c r="Z57" s="98"/>
      <c r="AA57" s="98"/>
      <c r="AB57" s="98"/>
      <c r="AC57" s="98"/>
      <c r="AD57" s="98"/>
      <c r="AE57" s="98"/>
      <c r="AF57" s="576"/>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7"/>
    </row>
    <row r="58" spans="1:56" x14ac:dyDescent="0.2">
      <c r="A58" s="576"/>
      <c r="B58" s="98"/>
      <c r="C58" s="98"/>
      <c r="D58" s="98"/>
      <c r="E58" s="98"/>
      <c r="F58" s="576"/>
      <c r="G58" s="576"/>
      <c r="H58" s="576"/>
      <c r="I58" s="576"/>
      <c r="J58" s="576"/>
      <c r="K58" s="576"/>
      <c r="L58" s="576"/>
      <c r="M58" s="576"/>
      <c r="N58" s="576"/>
      <c r="O58" s="576"/>
      <c r="P58" s="576"/>
      <c r="Q58" s="576"/>
      <c r="R58" s="576"/>
      <c r="S58" s="576"/>
      <c r="T58" s="576"/>
      <c r="U58" s="576"/>
      <c r="V58" s="576"/>
      <c r="W58" s="576"/>
      <c r="X58" s="576"/>
      <c r="Y58" s="576"/>
      <c r="Z58" s="98"/>
      <c r="AA58" s="98"/>
      <c r="AB58" s="98"/>
      <c r="AC58" s="98"/>
      <c r="AD58" s="98"/>
      <c r="AE58" s="98"/>
      <c r="AF58" s="576"/>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7"/>
    </row>
    <row r="59" spans="1:56" x14ac:dyDescent="0.2">
      <c r="A59" s="576"/>
      <c r="B59" s="98"/>
      <c r="C59" s="98"/>
      <c r="D59" s="98"/>
      <c r="E59" s="98"/>
      <c r="F59" s="576"/>
      <c r="G59" s="576"/>
      <c r="H59" s="576"/>
      <c r="I59" s="576"/>
      <c r="J59" s="576"/>
      <c r="K59" s="576"/>
      <c r="L59" s="576"/>
      <c r="M59" s="576"/>
      <c r="N59" s="576"/>
      <c r="O59" s="576"/>
      <c r="P59" s="576"/>
      <c r="Q59" s="576"/>
      <c r="R59" s="576"/>
      <c r="S59" s="576"/>
      <c r="T59" s="576"/>
      <c r="U59" s="576"/>
      <c r="V59" s="576"/>
      <c r="W59" s="576"/>
      <c r="X59" s="576"/>
      <c r="Y59" s="576"/>
      <c r="Z59" s="98"/>
      <c r="AA59" s="98"/>
      <c r="AB59" s="98"/>
      <c r="AC59" s="98"/>
      <c r="AD59" s="98"/>
      <c r="AE59" s="98"/>
      <c r="AF59" s="576"/>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7"/>
    </row>
    <row r="60" spans="1:56" x14ac:dyDescent="0.2">
      <c r="A60" s="576"/>
      <c r="B60" s="98"/>
      <c r="C60" s="98"/>
      <c r="D60" s="98"/>
      <c r="E60" s="98"/>
      <c r="F60" s="576"/>
      <c r="G60" s="576"/>
      <c r="H60" s="576"/>
      <c r="I60" s="576"/>
      <c r="J60" s="576"/>
      <c r="K60" s="576"/>
      <c r="L60" s="576"/>
      <c r="M60" s="576"/>
      <c r="N60" s="576"/>
      <c r="O60" s="576"/>
      <c r="P60" s="576"/>
      <c r="Q60" s="576"/>
      <c r="R60" s="576"/>
      <c r="S60" s="576"/>
      <c r="T60" s="576"/>
      <c r="U60" s="576"/>
      <c r="V60" s="576"/>
      <c r="W60" s="576"/>
      <c r="X60" s="576"/>
      <c r="Y60" s="576"/>
      <c r="Z60" s="98"/>
      <c r="AA60" s="98"/>
      <c r="AB60" s="98"/>
      <c r="AC60" s="98"/>
      <c r="AD60" s="98"/>
      <c r="AE60" s="98"/>
      <c r="AF60" s="576"/>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7"/>
    </row>
    <row r="61" spans="1:56" x14ac:dyDescent="0.2">
      <c r="A61" s="576"/>
      <c r="B61" s="98"/>
      <c r="C61" s="98"/>
      <c r="D61" s="98"/>
      <c r="E61" s="98"/>
      <c r="F61" s="576"/>
      <c r="G61" s="576"/>
      <c r="H61" s="576"/>
      <c r="I61" s="576"/>
      <c r="J61" s="576"/>
      <c r="K61" s="576"/>
      <c r="L61" s="576"/>
      <c r="M61" s="576"/>
      <c r="N61" s="576"/>
      <c r="O61" s="576"/>
      <c r="P61" s="576"/>
      <c r="Q61" s="576"/>
      <c r="R61" s="576"/>
      <c r="S61" s="576"/>
      <c r="T61" s="576"/>
      <c r="U61" s="576"/>
      <c r="V61" s="576"/>
      <c r="W61" s="576"/>
      <c r="X61" s="576"/>
      <c r="Y61" s="576"/>
      <c r="Z61" s="98"/>
      <c r="AA61" s="98"/>
      <c r="AB61" s="98"/>
      <c r="AC61" s="98"/>
      <c r="AD61" s="98"/>
      <c r="AE61" s="98"/>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7"/>
    </row>
    <row r="62" spans="1:56" x14ac:dyDescent="0.2">
      <c r="A62" s="576"/>
      <c r="B62" s="98"/>
      <c r="C62" s="98"/>
      <c r="D62" s="98"/>
      <c r="E62" s="98"/>
      <c r="F62" s="576"/>
      <c r="G62" s="576"/>
      <c r="H62" s="576"/>
      <c r="I62" s="576"/>
      <c r="J62" s="576"/>
      <c r="K62" s="576"/>
      <c r="L62" s="576"/>
      <c r="M62" s="576"/>
      <c r="N62" s="576"/>
      <c r="O62" s="576"/>
      <c r="P62" s="576"/>
      <c r="Q62" s="576"/>
      <c r="R62" s="576"/>
      <c r="S62" s="576"/>
      <c r="T62" s="576"/>
      <c r="U62" s="576"/>
      <c r="V62" s="576"/>
      <c r="W62" s="576"/>
      <c r="X62" s="576"/>
      <c r="Y62" s="576"/>
      <c r="Z62" s="98"/>
      <c r="AA62" s="98"/>
      <c r="AB62" s="98"/>
      <c r="AC62" s="98"/>
      <c r="AD62" s="98"/>
      <c r="AE62" s="98"/>
      <c r="AF62" s="576"/>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7"/>
    </row>
    <row r="63" spans="1:56" x14ac:dyDescent="0.2">
      <c r="A63" s="576"/>
      <c r="B63" s="98"/>
      <c r="C63" s="98"/>
      <c r="D63" s="98"/>
      <c r="E63" s="98"/>
      <c r="F63" s="576"/>
      <c r="G63" s="576"/>
      <c r="H63" s="576"/>
      <c r="I63" s="576"/>
      <c r="J63" s="576"/>
      <c r="K63" s="576"/>
      <c r="L63" s="576"/>
      <c r="M63" s="576"/>
      <c r="N63" s="576"/>
      <c r="O63" s="576"/>
      <c r="P63" s="576"/>
      <c r="Q63" s="576"/>
      <c r="R63" s="576"/>
      <c r="S63" s="576"/>
      <c r="T63" s="576"/>
      <c r="U63" s="576"/>
      <c r="V63" s="576"/>
      <c r="W63" s="576"/>
      <c r="X63" s="576"/>
      <c r="Y63" s="576"/>
      <c r="Z63" s="98"/>
      <c r="AA63" s="98"/>
      <c r="AB63" s="98"/>
      <c r="AC63" s="98"/>
      <c r="AD63" s="98"/>
      <c r="AE63" s="98"/>
      <c r="AF63" s="576"/>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7"/>
    </row>
    <row r="64" spans="1:56" x14ac:dyDescent="0.2">
      <c r="A64" s="576"/>
      <c r="B64" s="98"/>
      <c r="C64" s="98"/>
      <c r="D64" s="98"/>
      <c r="E64" s="98"/>
      <c r="F64" s="576"/>
      <c r="G64" s="576"/>
      <c r="H64" s="576"/>
      <c r="I64" s="576"/>
      <c r="J64" s="576"/>
      <c r="K64" s="576"/>
      <c r="L64" s="576"/>
      <c r="M64" s="576"/>
      <c r="N64" s="576"/>
      <c r="O64" s="576"/>
      <c r="P64" s="576"/>
      <c r="Q64" s="576"/>
      <c r="R64" s="576"/>
      <c r="S64" s="576"/>
      <c r="T64" s="576"/>
      <c r="U64" s="576"/>
      <c r="V64" s="576"/>
      <c r="W64" s="576"/>
      <c r="X64" s="576"/>
      <c r="Y64" s="576"/>
      <c r="Z64" s="98"/>
      <c r="AA64" s="98"/>
      <c r="AB64" s="98"/>
      <c r="AC64" s="98"/>
      <c r="AD64" s="98"/>
      <c r="AE64" s="98"/>
      <c r="AF64" s="576"/>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7"/>
    </row>
    <row r="65" spans="1:56" x14ac:dyDescent="0.2">
      <c r="A65" s="576"/>
      <c r="B65" s="98"/>
      <c r="C65" s="98"/>
      <c r="D65" s="98"/>
      <c r="E65" s="98"/>
      <c r="F65" s="576"/>
      <c r="G65" s="576"/>
      <c r="H65" s="576"/>
      <c r="I65" s="576"/>
      <c r="J65" s="576"/>
      <c r="K65" s="576"/>
      <c r="L65" s="576"/>
      <c r="M65" s="576"/>
      <c r="N65" s="576"/>
      <c r="O65" s="576"/>
      <c r="P65" s="576"/>
      <c r="Q65" s="576"/>
      <c r="R65" s="576"/>
      <c r="S65" s="576"/>
      <c r="T65" s="576"/>
      <c r="U65" s="576"/>
      <c r="V65" s="576"/>
      <c r="W65" s="576"/>
      <c r="X65" s="576"/>
      <c r="Y65" s="576"/>
      <c r="Z65" s="98"/>
      <c r="AA65" s="98"/>
      <c r="AB65" s="98"/>
      <c r="AC65" s="98"/>
      <c r="AD65" s="98"/>
      <c r="AE65" s="98"/>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7"/>
    </row>
    <row r="66" spans="1:56" x14ac:dyDescent="0.2">
      <c r="A66" s="576"/>
      <c r="B66" s="98"/>
      <c r="C66" s="98"/>
      <c r="D66" s="98"/>
      <c r="E66" s="98"/>
      <c r="F66" s="576"/>
      <c r="G66" s="576"/>
      <c r="H66" s="576"/>
      <c r="I66" s="576"/>
      <c r="J66" s="576"/>
      <c r="K66" s="576"/>
      <c r="L66" s="576"/>
      <c r="M66" s="576"/>
      <c r="N66" s="576"/>
      <c r="O66" s="576"/>
      <c r="P66" s="576"/>
      <c r="Q66" s="576"/>
      <c r="R66" s="576"/>
      <c r="S66" s="576"/>
      <c r="T66" s="576"/>
      <c r="U66" s="576"/>
      <c r="V66" s="576"/>
      <c r="W66" s="576"/>
      <c r="X66" s="576"/>
      <c r="Y66" s="576"/>
      <c r="Z66" s="98"/>
      <c r="AA66" s="98"/>
      <c r="AB66" s="98"/>
      <c r="AC66" s="98"/>
      <c r="AD66" s="98"/>
      <c r="AE66" s="98"/>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7"/>
    </row>
    <row r="67" spans="1:56" x14ac:dyDescent="0.2">
      <c r="A67" s="576"/>
      <c r="B67" s="98"/>
      <c r="C67" s="98"/>
      <c r="D67" s="98"/>
      <c r="E67" s="98"/>
      <c r="F67" s="576"/>
      <c r="G67" s="576"/>
      <c r="H67" s="576"/>
      <c r="I67" s="576"/>
      <c r="J67" s="576"/>
      <c r="K67" s="576"/>
      <c r="L67" s="576"/>
      <c r="M67" s="576"/>
      <c r="N67" s="576"/>
      <c r="O67" s="576"/>
      <c r="P67" s="576"/>
      <c r="Q67" s="576"/>
      <c r="R67" s="576"/>
      <c r="S67" s="576"/>
      <c r="T67" s="576"/>
      <c r="U67" s="576"/>
      <c r="V67" s="576"/>
      <c r="W67" s="576"/>
      <c r="X67" s="576"/>
      <c r="Y67" s="576"/>
      <c r="Z67" s="98"/>
      <c r="AA67" s="98"/>
      <c r="AB67" s="98"/>
      <c r="AC67" s="98"/>
      <c r="AD67" s="98"/>
      <c r="AE67" s="98"/>
      <c r="AF67" s="576"/>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7"/>
    </row>
    <row r="68" spans="1:56" x14ac:dyDescent="0.2">
      <c r="A68" s="576"/>
      <c r="B68" s="98"/>
      <c r="C68" s="98"/>
      <c r="D68" s="98"/>
      <c r="E68" s="98"/>
      <c r="F68" s="576"/>
      <c r="G68" s="576"/>
      <c r="H68" s="576"/>
      <c r="I68" s="576"/>
      <c r="J68" s="576"/>
      <c r="K68" s="576"/>
      <c r="L68" s="576"/>
      <c r="M68" s="576"/>
      <c r="N68" s="576"/>
      <c r="O68" s="576"/>
      <c r="P68" s="576"/>
      <c r="Q68" s="576"/>
      <c r="R68" s="576"/>
      <c r="S68" s="576"/>
      <c r="T68" s="576"/>
      <c r="U68" s="576"/>
      <c r="V68" s="576"/>
      <c r="W68" s="576"/>
      <c r="X68" s="576"/>
      <c r="Y68" s="576"/>
      <c r="Z68" s="98"/>
      <c r="AA68" s="98"/>
      <c r="AB68" s="98"/>
      <c r="AC68" s="98"/>
      <c r="AD68" s="98"/>
      <c r="AE68" s="98"/>
      <c r="AF68" s="576"/>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7"/>
    </row>
    <row r="69" spans="1:56" x14ac:dyDescent="0.2">
      <c r="A69" s="576"/>
      <c r="B69" s="98"/>
      <c r="C69" s="98"/>
      <c r="D69" s="98"/>
      <c r="E69" s="98"/>
      <c r="F69" s="576"/>
      <c r="G69" s="576"/>
      <c r="H69" s="576"/>
      <c r="I69" s="576"/>
      <c r="J69" s="576"/>
      <c r="K69" s="576"/>
      <c r="L69" s="576"/>
      <c r="M69" s="576"/>
      <c r="N69" s="576"/>
      <c r="O69" s="576"/>
      <c r="P69" s="576"/>
      <c r="Q69" s="576"/>
      <c r="R69" s="576"/>
      <c r="S69" s="576"/>
      <c r="T69" s="576"/>
      <c r="U69" s="576"/>
      <c r="V69" s="576"/>
      <c r="W69" s="576"/>
      <c r="X69" s="576"/>
      <c r="Y69" s="576"/>
      <c r="Z69" s="98"/>
      <c r="AA69" s="98"/>
      <c r="AB69" s="98"/>
      <c r="AC69" s="98"/>
      <c r="AD69" s="98"/>
      <c r="AE69" s="98"/>
      <c r="AF69" s="576"/>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7"/>
    </row>
    <row r="70" spans="1:56" x14ac:dyDescent="0.2">
      <c r="A70" s="576"/>
      <c r="B70" s="98"/>
      <c r="C70" s="98"/>
      <c r="D70" s="98"/>
      <c r="E70" s="98"/>
      <c r="F70" s="576"/>
      <c r="G70" s="576"/>
      <c r="H70" s="576"/>
      <c r="I70" s="576"/>
      <c r="J70" s="576"/>
      <c r="K70" s="576"/>
      <c r="L70" s="576"/>
      <c r="M70" s="576"/>
      <c r="N70" s="576"/>
      <c r="O70" s="576"/>
      <c r="P70" s="576"/>
      <c r="Q70" s="576"/>
      <c r="R70" s="576"/>
      <c r="S70" s="576"/>
      <c r="T70" s="576"/>
      <c r="U70" s="576"/>
      <c r="V70" s="576"/>
      <c r="W70" s="576"/>
      <c r="X70" s="576"/>
      <c r="Y70" s="576"/>
      <c r="Z70" s="98"/>
      <c r="AA70" s="98"/>
      <c r="AB70" s="98"/>
      <c r="AC70" s="98"/>
      <c r="AD70" s="98"/>
      <c r="AE70" s="98"/>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7"/>
    </row>
    <row r="71" spans="1:56" x14ac:dyDescent="0.2">
      <c r="A71" s="576"/>
      <c r="B71" s="98"/>
      <c r="C71" s="98"/>
      <c r="D71" s="98"/>
      <c r="E71" s="98"/>
      <c r="F71" s="576"/>
      <c r="G71" s="576"/>
      <c r="H71" s="576"/>
      <c r="I71" s="576"/>
      <c r="J71" s="576"/>
      <c r="K71" s="576"/>
      <c r="L71" s="576"/>
      <c r="M71" s="576"/>
      <c r="N71" s="576"/>
      <c r="O71" s="576"/>
      <c r="P71" s="576"/>
      <c r="Q71" s="576"/>
      <c r="R71" s="576"/>
      <c r="S71" s="576"/>
      <c r="T71" s="576"/>
      <c r="U71" s="576"/>
      <c r="V71" s="576"/>
      <c r="W71" s="576"/>
      <c r="X71" s="576"/>
      <c r="Y71" s="576"/>
      <c r="Z71" s="98"/>
      <c r="AA71" s="98"/>
      <c r="AB71" s="98"/>
      <c r="AC71" s="98"/>
      <c r="AD71" s="98"/>
      <c r="AE71" s="98"/>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7"/>
    </row>
    <row r="72" spans="1:56" x14ac:dyDescent="0.2">
      <c r="A72" s="576"/>
      <c r="B72" s="98"/>
      <c r="C72" s="98"/>
      <c r="D72" s="98"/>
      <c r="E72" s="98"/>
      <c r="F72" s="576"/>
      <c r="G72" s="576"/>
      <c r="H72" s="576"/>
      <c r="I72" s="576"/>
      <c r="J72" s="576"/>
      <c r="K72" s="576"/>
      <c r="L72" s="576"/>
      <c r="M72" s="576"/>
      <c r="N72" s="576"/>
      <c r="O72" s="576"/>
      <c r="P72" s="576"/>
      <c r="Q72" s="576"/>
      <c r="R72" s="576"/>
      <c r="S72" s="576"/>
      <c r="T72" s="576"/>
      <c r="U72" s="576"/>
      <c r="V72" s="576"/>
      <c r="W72" s="576"/>
      <c r="X72" s="576"/>
      <c r="Y72" s="576"/>
      <c r="Z72" s="98"/>
      <c r="AA72" s="98"/>
      <c r="AB72" s="98"/>
      <c r="AC72" s="98"/>
      <c r="AD72" s="98"/>
      <c r="AE72" s="98"/>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7"/>
    </row>
    <row r="73" spans="1:56" x14ac:dyDescent="0.2">
      <c r="A73" s="576"/>
      <c r="B73" s="98"/>
      <c r="C73" s="98"/>
      <c r="D73" s="98"/>
      <c r="E73" s="98"/>
      <c r="F73" s="576"/>
      <c r="G73" s="576"/>
      <c r="H73" s="576"/>
      <c r="I73" s="576"/>
      <c r="J73" s="576"/>
      <c r="K73" s="576"/>
      <c r="L73" s="576"/>
      <c r="M73" s="576"/>
      <c r="N73" s="576"/>
      <c r="O73" s="576"/>
      <c r="P73" s="576"/>
      <c r="Q73" s="576"/>
      <c r="R73" s="576"/>
      <c r="S73" s="576"/>
      <c r="T73" s="576"/>
      <c r="U73" s="576"/>
      <c r="V73" s="576"/>
      <c r="W73" s="576"/>
      <c r="X73" s="576"/>
      <c r="Y73" s="576"/>
      <c r="Z73" s="98"/>
      <c r="AA73" s="98"/>
      <c r="AB73" s="98"/>
      <c r="AC73" s="98"/>
      <c r="AD73" s="98"/>
      <c r="AE73" s="98"/>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7"/>
    </row>
    <row r="74" spans="1:56" x14ac:dyDescent="0.2">
      <c r="A74" s="576"/>
      <c r="B74" s="98"/>
      <c r="C74" s="98"/>
      <c r="D74" s="98"/>
      <c r="E74" s="98"/>
      <c r="F74" s="576"/>
      <c r="G74" s="576"/>
      <c r="H74" s="576"/>
      <c r="I74" s="576"/>
      <c r="J74" s="576"/>
      <c r="K74" s="576"/>
      <c r="L74" s="576"/>
      <c r="M74" s="576"/>
      <c r="N74" s="576"/>
      <c r="O74" s="576"/>
      <c r="P74" s="576"/>
      <c r="Q74" s="576"/>
      <c r="R74" s="576"/>
      <c r="S74" s="576"/>
      <c r="T74" s="576"/>
      <c r="U74" s="576"/>
      <c r="V74" s="576"/>
      <c r="W74" s="576"/>
      <c r="X74" s="576"/>
      <c r="Y74" s="576"/>
      <c r="Z74" s="98"/>
      <c r="AA74" s="98"/>
      <c r="AB74" s="98"/>
      <c r="AC74" s="98"/>
      <c r="AD74" s="98"/>
      <c r="AE74" s="98"/>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7"/>
    </row>
    <row r="75" spans="1:56" x14ac:dyDescent="0.2">
      <c r="A75" s="576"/>
      <c r="B75" s="98"/>
      <c r="C75" s="98"/>
      <c r="D75" s="98"/>
      <c r="E75" s="98"/>
      <c r="F75" s="576"/>
      <c r="G75" s="576"/>
      <c r="H75" s="576"/>
      <c r="I75" s="576"/>
      <c r="J75" s="576"/>
      <c r="K75" s="576"/>
      <c r="L75" s="576"/>
      <c r="M75" s="576"/>
      <c r="N75" s="576"/>
      <c r="O75" s="576"/>
      <c r="P75" s="576"/>
      <c r="Q75" s="576"/>
      <c r="R75" s="576"/>
      <c r="S75" s="576"/>
      <c r="T75" s="576"/>
      <c r="U75" s="576"/>
      <c r="V75" s="576"/>
      <c r="W75" s="576"/>
      <c r="X75" s="576"/>
      <c r="Y75" s="576"/>
      <c r="Z75" s="98"/>
      <c r="AA75" s="98"/>
      <c r="AB75" s="98"/>
      <c r="AC75" s="98"/>
      <c r="AD75" s="98"/>
      <c r="AE75" s="98"/>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7"/>
    </row>
    <row r="76" spans="1:56" x14ac:dyDescent="0.2">
      <c r="A76" s="576"/>
      <c r="B76" s="98"/>
      <c r="C76" s="98"/>
      <c r="D76" s="98"/>
      <c r="E76" s="98"/>
      <c r="F76" s="576"/>
      <c r="G76" s="576"/>
      <c r="H76" s="576"/>
      <c r="I76" s="576"/>
      <c r="J76" s="576"/>
      <c r="K76" s="576"/>
      <c r="L76" s="576"/>
      <c r="M76" s="576"/>
      <c r="N76" s="576"/>
      <c r="O76" s="576"/>
      <c r="P76" s="576"/>
      <c r="Q76" s="576"/>
      <c r="R76" s="576"/>
      <c r="S76" s="576"/>
      <c r="T76" s="576"/>
      <c r="U76" s="576"/>
      <c r="V76" s="576"/>
      <c r="W76" s="576"/>
      <c r="X76" s="576"/>
      <c r="Y76" s="576"/>
      <c r="Z76" s="98"/>
      <c r="AA76" s="98"/>
      <c r="AB76" s="98"/>
      <c r="AC76" s="98"/>
      <c r="AD76" s="98"/>
      <c r="AE76" s="98"/>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7"/>
    </row>
    <row r="77" spans="1:56" x14ac:dyDescent="0.2">
      <c r="A77" s="576"/>
      <c r="B77" s="98"/>
      <c r="C77" s="98"/>
      <c r="D77" s="98"/>
      <c r="E77" s="98"/>
      <c r="F77" s="576"/>
      <c r="G77" s="576"/>
      <c r="H77" s="576"/>
      <c r="I77" s="576"/>
      <c r="J77" s="576"/>
      <c r="K77" s="576"/>
      <c r="L77" s="576"/>
      <c r="M77" s="576"/>
      <c r="N77" s="576"/>
      <c r="O77" s="576"/>
      <c r="P77" s="576"/>
      <c r="Q77" s="576"/>
      <c r="R77" s="576"/>
      <c r="S77" s="576"/>
      <c r="T77" s="576"/>
      <c r="U77" s="576"/>
      <c r="V77" s="576"/>
      <c r="W77" s="576"/>
      <c r="X77" s="576"/>
      <c r="Y77" s="576"/>
      <c r="Z77" s="98"/>
      <c r="AA77" s="98"/>
      <c r="AB77" s="98"/>
      <c r="AC77" s="98"/>
      <c r="AD77" s="98"/>
      <c r="AE77" s="98"/>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7"/>
    </row>
    <row r="78" spans="1:56" x14ac:dyDescent="0.2">
      <c r="A78" s="576"/>
      <c r="B78" s="98"/>
      <c r="C78" s="98"/>
      <c r="D78" s="98"/>
      <c r="E78" s="98"/>
      <c r="F78" s="576"/>
      <c r="G78" s="576"/>
      <c r="H78" s="576"/>
      <c r="I78" s="576"/>
      <c r="J78" s="576"/>
      <c r="K78" s="576"/>
      <c r="L78" s="576"/>
      <c r="M78" s="576"/>
      <c r="N78" s="576"/>
      <c r="O78" s="576"/>
      <c r="P78" s="576"/>
      <c r="Q78" s="576"/>
      <c r="R78" s="576"/>
      <c r="S78" s="576"/>
      <c r="T78" s="576"/>
      <c r="U78" s="576"/>
      <c r="V78" s="576"/>
      <c r="W78" s="576"/>
      <c r="X78" s="576"/>
      <c r="Y78" s="576"/>
      <c r="Z78" s="98"/>
      <c r="AA78" s="98"/>
      <c r="AB78" s="98"/>
      <c r="AC78" s="98"/>
      <c r="AD78" s="98"/>
      <c r="AE78" s="98"/>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7"/>
    </row>
    <row r="79" spans="1:56" x14ac:dyDescent="0.2">
      <c r="A79" s="576"/>
      <c r="B79" s="98"/>
      <c r="C79" s="98"/>
      <c r="D79" s="98"/>
      <c r="E79" s="98"/>
      <c r="F79" s="576"/>
      <c r="G79" s="576"/>
      <c r="H79" s="576"/>
      <c r="I79" s="576"/>
      <c r="J79" s="576"/>
      <c r="K79" s="576"/>
      <c r="L79" s="576"/>
      <c r="M79" s="576"/>
      <c r="N79" s="576"/>
      <c r="O79" s="576"/>
      <c r="P79" s="576"/>
      <c r="Q79" s="576"/>
      <c r="R79" s="576"/>
      <c r="S79" s="576"/>
      <c r="T79" s="576"/>
      <c r="U79" s="576"/>
      <c r="V79" s="576"/>
      <c r="W79" s="576"/>
      <c r="X79" s="576"/>
      <c r="Y79" s="576"/>
      <c r="Z79" s="98"/>
      <c r="AA79" s="98"/>
      <c r="AB79" s="98"/>
      <c r="AC79" s="98"/>
      <c r="AD79" s="98"/>
      <c r="AE79" s="98"/>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7"/>
    </row>
    <row r="80" spans="1:56" x14ac:dyDescent="0.2">
      <c r="A80" s="576"/>
      <c r="B80" s="98"/>
      <c r="C80" s="98"/>
      <c r="D80" s="98"/>
      <c r="E80" s="98"/>
      <c r="F80" s="576"/>
      <c r="G80" s="576"/>
      <c r="H80" s="576"/>
      <c r="I80" s="576"/>
      <c r="J80" s="576"/>
      <c r="K80" s="576"/>
      <c r="L80" s="576"/>
      <c r="M80" s="576"/>
      <c r="N80" s="576"/>
      <c r="O80" s="576"/>
      <c r="P80" s="576"/>
      <c r="Q80" s="576"/>
      <c r="R80" s="576"/>
      <c r="S80" s="576"/>
      <c r="T80" s="576"/>
      <c r="U80" s="576"/>
      <c r="V80" s="576"/>
      <c r="W80" s="576"/>
      <c r="X80" s="576"/>
      <c r="Y80" s="576"/>
      <c r="Z80" s="98"/>
      <c r="AA80" s="98"/>
      <c r="AB80" s="98"/>
      <c r="AC80" s="98"/>
      <c r="AD80" s="98"/>
      <c r="AE80" s="98"/>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7"/>
    </row>
    <row r="81" spans="1:56" x14ac:dyDescent="0.2">
      <c r="A81" s="576"/>
      <c r="B81" s="98"/>
      <c r="C81" s="98"/>
      <c r="D81" s="98"/>
      <c r="E81" s="98"/>
      <c r="F81" s="576"/>
      <c r="G81" s="576"/>
      <c r="H81" s="576"/>
      <c r="I81" s="576"/>
      <c r="J81" s="576"/>
      <c r="K81" s="576"/>
      <c r="L81" s="576"/>
      <c r="M81" s="576"/>
      <c r="N81" s="576"/>
      <c r="O81" s="576"/>
      <c r="P81" s="576"/>
      <c r="Q81" s="576"/>
      <c r="R81" s="576"/>
      <c r="S81" s="576"/>
      <c r="T81" s="576"/>
      <c r="U81" s="576"/>
      <c r="V81" s="576"/>
      <c r="W81" s="576"/>
      <c r="X81" s="576"/>
      <c r="Y81" s="576"/>
      <c r="Z81" s="98"/>
      <c r="AA81" s="98"/>
      <c r="AB81" s="98"/>
      <c r="AC81" s="98"/>
      <c r="AD81" s="98"/>
      <c r="AE81" s="98"/>
      <c r="AF81" s="576"/>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7"/>
    </row>
    <row r="82" spans="1:56" x14ac:dyDescent="0.2">
      <c r="A82" s="576"/>
      <c r="B82" s="98"/>
      <c r="C82" s="98"/>
      <c r="D82" s="98"/>
      <c r="E82" s="98"/>
      <c r="F82" s="576"/>
      <c r="G82" s="576"/>
      <c r="H82" s="576"/>
      <c r="I82" s="576"/>
      <c r="J82" s="576"/>
      <c r="K82" s="576"/>
      <c r="L82" s="576"/>
      <c r="M82" s="576"/>
      <c r="N82" s="576"/>
      <c r="O82" s="576"/>
      <c r="P82" s="576"/>
      <c r="Q82" s="576"/>
      <c r="R82" s="576"/>
      <c r="S82" s="576"/>
      <c r="T82" s="576"/>
      <c r="U82" s="576"/>
      <c r="V82" s="576"/>
      <c r="W82" s="576"/>
      <c r="X82" s="576"/>
      <c r="Y82" s="576"/>
      <c r="Z82" s="98"/>
      <c r="AA82" s="98"/>
      <c r="AB82" s="98"/>
      <c r="AC82" s="98"/>
      <c r="AD82" s="98"/>
      <c r="AE82" s="98"/>
      <c r="AF82" s="576"/>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7"/>
    </row>
    <row r="83" spans="1:56" x14ac:dyDescent="0.2">
      <c r="A83" s="576"/>
      <c r="B83" s="98"/>
      <c r="C83" s="98"/>
      <c r="D83" s="98"/>
      <c r="E83" s="98"/>
      <c r="F83" s="576"/>
      <c r="G83" s="576"/>
      <c r="H83" s="576"/>
      <c r="I83" s="576"/>
      <c r="J83" s="576"/>
      <c r="K83" s="576"/>
      <c r="L83" s="576"/>
      <c r="M83" s="576"/>
      <c r="N83" s="576"/>
      <c r="O83" s="576"/>
      <c r="P83" s="576"/>
      <c r="Q83" s="576"/>
      <c r="R83" s="576"/>
      <c r="S83" s="576"/>
      <c r="T83" s="576"/>
      <c r="U83" s="576"/>
      <c r="V83" s="576"/>
      <c r="W83" s="576"/>
      <c r="X83" s="576"/>
      <c r="Y83" s="576"/>
      <c r="Z83" s="98"/>
      <c r="AA83" s="98"/>
      <c r="AB83" s="98"/>
      <c r="AC83" s="98"/>
      <c r="AD83" s="98"/>
      <c r="AE83" s="98"/>
      <c r="AF83" s="576"/>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7"/>
    </row>
    <row r="84" spans="1:56" x14ac:dyDescent="0.2">
      <c r="A84" s="576"/>
      <c r="B84" s="98"/>
      <c r="C84" s="98"/>
      <c r="D84" s="98"/>
      <c r="E84" s="98"/>
      <c r="F84" s="576"/>
      <c r="G84" s="576"/>
      <c r="H84" s="576"/>
      <c r="I84" s="576"/>
      <c r="J84" s="576"/>
      <c r="K84" s="576"/>
      <c r="L84" s="576"/>
      <c r="M84" s="576"/>
      <c r="N84" s="576"/>
      <c r="O84" s="576"/>
      <c r="P84" s="576"/>
      <c r="Q84" s="576"/>
      <c r="R84" s="576"/>
      <c r="S84" s="576"/>
      <c r="T84" s="576"/>
      <c r="U84" s="576"/>
      <c r="V84" s="576"/>
      <c r="W84" s="576"/>
      <c r="X84" s="576"/>
      <c r="Y84" s="576"/>
      <c r="Z84" s="98"/>
      <c r="AA84" s="98"/>
      <c r="AB84" s="98"/>
      <c r="AC84" s="98"/>
      <c r="AD84" s="98"/>
      <c r="AE84" s="98"/>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7"/>
    </row>
    <row r="85" spans="1:56" x14ac:dyDescent="0.2">
      <c r="A85" s="576"/>
      <c r="B85" s="98"/>
      <c r="C85" s="98"/>
      <c r="D85" s="98"/>
      <c r="E85" s="98"/>
      <c r="F85" s="576"/>
      <c r="G85" s="576"/>
      <c r="H85" s="576"/>
      <c r="I85" s="576"/>
      <c r="J85" s="576"/>
      <c r="K85" s="576"/>
      <c r="L85" s="576"/>
      <c r="M85" s="576"/>
      <c r="N85" s="576"/>
      <c r="O85" s="576"/>
      <c r="P85" s="576"/>
      <c r="Q85" s="576"/>
      <c r="R85" s="576"/>
      <c r="S85" s="576"/>
      <c r="T85" s="576"/>
      <c r="U85" s="576"/>
      <c r="V85" s="576"/>
      <c r="W85" s="576"/>
      <c r="X85" s="576"/>
      <c r="Y85" s="576"/>
      <c r="Z85" s="98"/>
      <c r="AA85" s="98"/>
      <c r="AB85" s="98"/>
      <c r="AC85" s="98"/>
      <c r="AD85" s="98"/>
      <c r="AE85" s="98"/>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7"/>
    </row>
    <row r="86" spans="1:56" x14ac:dyDescent="0.2">
      <c r="A86" s="576"/>
      <c r="B86" s="98"/>
      <c r="C86" s="98"/>
      <c r="D86" s="98"/>
      <c r="E86" s="98"/>
      <c r="F86" s="576"/>
      <c r="G86" s="576"/>
      <c r="H86" s="576"/>
      <c r="I86" s="576"/>
      <c r="J86" s="576"/>
      <c r="K86" s="576"/>
      <c r="L86" s="576"/>
      <c r="M86" s="576"/>
      <c r="N86" s="576"/>
      <c r="O86" s="576"/>
      <c r="P86" s="576"/>
      <c r="Q86" s="576"/>
      <c r="R86" s="576"/>
      <c r="S86" s="576"/>
      <c r="T86" s="576"/>
      <c r="U86" s="576"/>
      <c r="V86" s="576"/>
      <c r="W86" s="576"/>
      <c r="X86" s="576"/>
      <c r="Y86" s="576"/>
      <c r="Z86" s="98"/>
      <c r="AA86" s="98"/>
      <c r="AB86" s="98"/>
      <c r="AC86" s="98"/>
      <c r="AD86" s="98"/>
      <c r="AE86" s="98"/>
      <c r="AF86" s="576"/>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7"/>
    </row>
    <row r="87" spans="1:56" x14ac:dyDescent="0.2">
      <c r="A87" s="576"/>
      <c r="B87" s="98"/>
      <c r="C87" s="98"/>
      <c r="D87" s="98"/>
      <c r="E87" s="98"/>
      <c r="F87" s="576"/>
      <c r="G87" s="576"/>
      <c r="H87" s="576"/>
      <c r="I87" s="576"/>
      <c r="J87" s="576"/>
      <c r="K87" s="576"/>
      <c r="L87" s="576"/>
      <c r="M87" s="576"/>
      <c r="N87" s="576"/>
      <c r="O87" s="576"/>
      <c r="P87" s="576"/>
      <c r="Q87" s="576"/>
      <c r="R87" s="576"/>
      <c r="S87" s="576"/>
      <c r="T87" s="576"/>
      <c r="U87" s="576"/>
      <c r="V87" s="576"/>
      <c r="W87" s="576"/>
      <c r="X87" s="576"/>
      <c r="Y87" s="576"/>
      <c r="Z87" s="98"/>
      <c r="AA87" s="98"/>
      <c r="AB87" s="98"/>
      <c r="AC87" s="98"/>
      <c r="AD87" s="98"/>
      <c r="AE87" s="98"/>
      <c r="AF87" s="576"/>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7"/>
    </row>
    <row r="88" spans="1:56" x14ac:dyDescent="0.2">
      <c r="A88" s="576"/>
      <c r="B88" s="98"/>
      <c r="C88" s="98"/>
      <c r="D88" s="98"/>
      <c r="E88" s="98"/>
      <c r="F88" s="576"/>
      <c r="G88" s="576"/>
      <c r="H88" s="576"/>
      <c r="I88" s="576"/>
      <c r="J88" s="576"/>
      <c r="K88" s="576"/>
      <c r="L88" s="576"/>
      <c r="M88" s="576"/>
      <c r="N88" s="576"/>
      <c r="O88" s="576"/>
      <c r="P88" s="576"/>
      <c r="Q88" s="576"/>
      <c r="R88" s="576"/>
      <c r="S88" s="576"/>
      <c r="T88" s="576"/>
      <c r="U88" s="576"/>
      <c r="V88" s="576"/>
      <c r="W88" s="576"/>
      <c r="X88" s="576"/>
      <c r="Y88" s="576"/>
      <c r="Z88" s="98"/>
      <c r="AA88" s="98"/>
      <c r="AB88" s="98"/>
      <c r="AC88" s="98"/>
      <c r="AD88" s="98"/>
      <c r="AE88" s="98"/>
      <c r="AF88" s="576"/>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7"/>
    </row>
    <row r="89" spans="1:56" x14ac:dyDescent="0.2">
      <c r="A89" s="576"/>
      <c r="B89" s="98"/>
      <c r="C89" s="98"/>
      <c r="D89" s="98"/>
      <c r="E89" s="98"/>
      <c r="F89" s="576"/>
      <c r="G89" s="576"/>
      <c r="H89" s="576"/>
      <c r="I89" s="576"/>
      <c r="J89" s="576"/>
      <c r="K89" s="576"/>
      <c r="L89" s="576"/>
      <c r="M89" s="576"/>
      <c r="N89" s="576"/>
      <c r="O89" s="576"/>
      <c r="P89" s="576"/>
      <c r="Q89" s="576"/>
      <c r="R89" s="576"/>
      <c r="S89" s="576"/>
      <c r="T89" s="576"/>
      <c r="U89" s="576"/>
      <c r="V89" s="576"/>
      <c r="W89" s="576"/>
      <c r="X89" s="576"/>
      <c r="Y89" s="576"/>
      <c r="Z89" s="98"/>
      <c r="AA89" s="98"/>
      <c r="AB89" s="98"/>
      <c r="AC89" s="98"/>
      <c r="AD89" s="98"/>
      <c r="AE89" s="98"/>
      <c r="AF89" s="576"/>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7"/>
    </row>
    <row r="90" spans="1:56" x14ac:dyDescent="0.2">
      <c r="A90" s="576"/>
      <c r="B90" s="98"/>
      <c r="C90" s="98"/>
      <c r="D90" s="98"/>
      <c r="E90" s="98"/>
      <c r="F90" s="576"/>
      <c r="G90" s="576"/>
      <c r="H90" s="576"/>
      <c r="I90" s="576"/>
      <c r="J90" s="576"/>
      <c r="K90" s="576"/>
      <c r="L90" s="576"/>
      <c r="M90" s="576"/>
      <c r="N90" s="576"/>
      <c r="O90" s="576"/>
      <c r="P90" s="576"/>
      <c r="Q90" s="576"/>
      <c r="R90" s="576"/>
      <c r="S90" s="576"/>
      <c r="T90" s="576"/>
      <c r="U90" s="576"/>
      <c r="V90" s="576"/>
      <c r="W90" s="576"/>
      <c r="X90" s="576"/>
      <c r="Y90" s="576"/>
      <c r="Z90" s="98"/>
      <c r="AA90" s="98"/>
      <c r="AB90" s="98"/>
      <c r="AC90" s="98"/>
      <c r="AD90" s="98"/>
      <c r="AE90" s="98"/>
      <c r="AF90" s="576"/>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7"/>
    </row>
    <row r="91" spans="1:56" x14ac:dyDescent="0.2">
      <c r="A91" s="576"/>
      <c r="B91" s="98"/>
      <c r="C91" s="98"/>
      <c r="D91" s="98"/>
      <c r="E91" s="98"/>
      <c r="F91" s="576"/>
      <c r="G91" s="576"/>
      <c r="H91" s="576"/>
      <c r="I91" s="576"/>
      <c r="J91" s="576"/>
      <c r="K91" s="576"/>
      <c r="L91" s="576"/>
      <c r="M91" s="576"/>
      <c r="N91" s="576"/>
      <c r="O91" s="576"/>
      <c r="P91" s="576"/>
      <c r="Q91" s="576"/>
      <c r="R91" s="576"/>
      <c r="S91" s="576"/>
      <c r="T91" s="576"/>
      <c r="U91" s="576"/>
      <c r="V91" s="576"/>
      <c r="W91" s="576"/>
      <c r="X91" s="576"/>
      <c r="Y91" s="576"/>
      <c r="Z91" s="98"/>
      <c r="AA91" s="98"/>
      <c r="AB91" s="98"/>
      <c r="AC91" s="98"/>
      <c r="AD91" s="98"/>
      <c r="AE91" s="98"/>
      <c r="AF91" s="576"/>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7"/>
    </row>
    <row r="92" spans="1:56" x14ac:dyDescent="0.2">
      <c r="A92" s="576"/>
      <c r="B92" s="98"/>
      <c r="C92" s="98"/>
      <c r="D92" s="98"/>
      <c r="E92" s="98"/>
      <c r="F92" s="576"/>
      <c r="G92" s="576"/>
      <c r="H92" s="576"/>
      <c r="I92" s="576"/>
      <c r="J92" s="576"/>
      <c r="K92" s="576"/>
      <c r="L92" s="576"/>
      <c r="M92" s="576"/>
      <c r="N92" s="576"/>
      <c r="O92" s="576"/>
      <c r="P92" s="576"/>
      <c r="Q92" s="576"/>
      <c r="R92" s="576"/>
      <c r="S92" s="576"/>
      <c r="T92" s="576"/>
      <c r="U92" s="576"/>
      <c r="V92" s="576"/>
      <c r="W92" s="576"/>
      <c r="X92" s="576"/>
      <c r="Y92" s="576"/>
      <c r="Z92" s="98"/>
      <c r="AA92" s="98"/>
      <c r="AB92" s="98"/>
      <c r="AC92" s="98"/>
      <c r="AD92" s="98"/>
      <c r="AE92" s="98"/>
      <c r="AF92" s="576"/>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7"/>
    </row>
    <row r="93" spans="1:56" x14ac:dyDescent="0.2">
      <c r="A93" s="579"/>
      <c r="B93" s="100"/>
      <c r="C93" s="100"/>
      <c r="D93" s="100"/>
      <c r="E93" s="100"/>
      <c r="F93" s="579"/>
      <c r="G93" s="579"/>
      <c r="H93" s="579"/>
      <c r="I93" s="579"/>
      <c r="J93" s="579"/>
      <c r="K93" s="579"/>
      <c r="L93" s="579"/>
      <c r="M93" s="579"/>
      <c r="N93" s="579"/>
      <c r="O93" s="579"/>
      <c r="P93" s="579"/>
      <c r="Q93" s="579"/>
      <c r="R93" s="579"/>
      <c r="S93" s="579"/>
      <c r="T93" s="579"/>
      <c r="U93" s="579"/>
      <c r="V93" s="579"/>
      <c r="W93" s="579"/>
      <c r="X93" s="579"/>
      <c r="Y93" s="579"/>
      <c r="Z93" s="100"/>
      <c r="AA93" s="100"/>
      <c r="AB93" s="100"/>
      <c r="AC93" s="100"/>
      <c r="AD93" s="100"/>
      <c r="AE93" s="100"/>
      <c r="AF93" s="579"/>
      <c r="AG93" s="579"/>
      <c r="AH93" s="579"/>
      <c r="AI93" s="579"/>
      <c r="AJ93" s="579"/>
      <c r="AK93" s="579"/>
      <c r="AL93" s="579"/>
      <c r="AM93" s="579"/>
      <c r="AN93" s="579"/>
      <c r="AO93" s="579"/>
      <c r="AP93" s="579"/>
      <c r="AQ93" s="579"/>
      <c r="AR93" s="579"/>
      <c r="AS93" s="579"/>
      <c r="AT93" s="579"/>
      <c r="AU93" s="579"/>
      <c r="AV93" s="579"/>
      <c r="AW93" s="579"/>
      <c r="AX93" s="579"/>
      <c r="AY93" s="579"/>
      <c r="AZ93" s="579"/>
      <c r="BA93" s="579"/>
      <c r="BB93" s="579"/>
      <c r="BC93" s="579"/>
      <c r="BD93" s="580"/>
    </row>
  </sheetData>
  <sheetProtection algorithmName="SHA-512" hashValue="/ILg9otEilBnRXg+u+7nE8+YKRxlrzegSmn85+pBFCCLh73QWW4v4APJQqPeWJojpmNfOzXhbdlBg4rCLc1XPg==" saltValue="M8A1VfATAiw+zq/BKYftVA==" spinCount="100000" sheet="1" selectLockedCells="1"/>
  <dataConsolidate link="1"/>
  <conditionalFormatting sqref="F4:Y4 F7:Y25">
    <cfRule type="notContainsBlanks" dxfId="5" priority="1">
      <formula>LEN(TRIM(F4))&gt;0</formula>
    </cfRule>
  </conditionalFormatting>
  <dataValidations count="1">
    <dataValidation type="whole" allowBlank="1" showInputMessage="1" showErrorMessage="1" errorTitle="Attenzione" error="Il servizio deve avere una durata minima di 1 mese e una durata massima di 48 mesi" sqref="F4:Y4" xr:uid="{00000000-0002-0000-1800-000000000000}">
      <formula1>1</formula1>
      <formula2>48</formula2>
    </dataValidation>
  </dataValidations>
  <pageMargins left="0.7" right="0.7" top="0.75" bottom="0.75" header="0.3" footer="0.3"/>
  <pageSetup paperSize="8" orientation="landscape" r:id="rId1"/>
  <ignoredErrors>
    <ignoredError sqref="C9 C25" twoDigitTextYear="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1"/>
  <dimension ref="A1:BE101"/>
  <sheetViews>
    <sheetView zoomScaleNormal="100" workbookViewId="0">
      <pane xSplit="6" ySplit="6" topLeftCell="G14" activePane="bottomRight" state="frozen"/>
      <selection pane="topRight" activeCell="G1" sqref="G1"/>
      <selection pane="bottomLeft" activeCell="A7" sqref="A7"/>
      <selection pane="bottomRight" activeCell="G16" sqref="G16:G22"/>
    </sheetView>
  </sheetViews>
  <sheetFormatPr defaultColWidth="9.140625" defaultRowHeight="11.25" x14ac:dyDescent="0.2"/>
  <cols>
    <col min="1" max="1" width="0.5703125" style="573" customWidth="1"/>
    <col min="2" max="2" width="10.140625" style="99" customWidth="1"/>
    <col min="3" max="3" width="18.140625" style="99" customWidth="1"/>
    <col min="4" max="4" width="29" style="99" customWidth="1"/>
    <col min="5" max="5" width="14.42578125" style="99" customWidth="1"/>
    <col min="6" max="6" width="14.28515625" style="99" bestFit="1" customWidth="1"/>
    <col min="7" max="7" width="9.42578125" style="573" bestFit="1" customWidth="1"/>
    <col min="8" max="8" width="10.140625" style="573" bestFit="1" customWidth="1"/>
    <col min="9" max="15" width="9.42578125" style="573" bestFit="1" customWidth="1"/>
    <col min="16" max="26" width="10.140625" style="573" bestFit="1"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ht="12" thickBot="1" x14ac:dyDescent="0.25"/>
    <row r="2" spans="1:57" s="99" customFormat="1" ht="12.75" thickBot="1" x14ac:dyDescent="0.25">
      <c r="G2" s="263" t="s">
        <v>308</v>
      </c>
      <c r="H2" s="263" t="s">
        <v>309</v>
      </c>
      <c r="I2" s="263" t="s">
        <v>310</v>
      </c>
      <c r="J2" s="263" t="s">
        <v>311</v>
      </c>
      <c r="K2" s="263" t="s">
        <v>312</v>
      </c>
      <c r="L2" s="263" t="s">
        <v>313</v>
      </c>
      <c r="M2" s="263" t="s">
        <v>314</v>
      </c>
      <c r="N2" s="263" t="s">
        <v>315</v>
      </c>
      <c r="O2" s="263" t="s">
        <v>316</v>
      </c>
      <c r="P2" s="263" t="s">
        <v>317</v>
      </c>
      <c r="Q2" s="263" t="s">
        <v>318</v>
      </c>
      <c r="R2" s="263" t="s">
        <v>319</v>
      </c>
      <c r="S2" s="263" t="s">
        <v>320</v>
      </c>
      <c r="T2" s="263" t="s">
        <v>321</v>
      </c>
      <c r="U2" s="263" t="s">
        <v>322</v>
      </c>
      <c r="V2" s="263" t="s">
        <v>323</v>
      </c>
      <c r="W2" s="263" t="s">
        <v>324</v>
      </c>
      <c r="X2" s="263" t="s">
        <v>325</v>
      </c>
      <c r="Y2" s="263" t="s">
        <v>326</v>
      </c>
      <c r="Z2" s="263" t="s">
        <v>327</v>
      </c>
    </row>
    <row r="3" spans="1:57" s="99" customFormat="1" ht="24.75" thickBot="1" x14ac:dyDescent="0.25">
      <c r="F3" s="124" t="s">
        <v>1170</v>
      </c>
      <c r="G3" s="487" t="str">
        <f>IF('Elenco immobili'!$C$4="","",'Elenco immobili'!$C$4)</f>
        <v>Sede ICE-AGID</v>
      </c>
      <c r="H3" s="487" t="str">
        <f>IF('Elenco immobili'!$C$5="","",'Elenco immobili'!$C$5)</f>
        <v/>
      </c>
      <c r="I3" s="487" t="str">
        <f>IF('Elenco immobili'!$C$6="","",'Elenco immobili'!$C$6)</f>
        <v/>
      </c>
      <c r="J3" s="487" t="str">
        <f>IF('Elenco immobili'!$C$7="","",'Elenco immobili'!$C$7)</f>
        <v/>
      </c>
      <c r="K3" s="487" t="str">
        <f>IF('Elenco immobili'!$C$8="","",'Elenco immobili'!$C$8)</f>
        <v/>
      </c>
      <c r="L3" s="487" t="str">
        <f>IF('Elenco immobili'!$C$9="","",'Elenco immobili'!$C$9)</f>
        <v/>
      </c>
      <c r="M3" s="487" t="str">
        <f>IF('Elenco immobili'!$C$10="","",'Elenco immobili'!$C$10)</f>
        <v/>
      </c>
      <c r="N3" s="487" t="str">
        <f>IF('Elenco immobili'!$C$11="","",'Elenco immobili'!$C$11)</f>
        <v/>
      </c>
      <c r="O3" s="487" t="str">
        <f>IF('Elenco immobili'!$C$12="","",'Elenco immobili'!$C$12)</f>
        <v/>
      </c>
      <c r="P3" s="487" t="str">
        <f>IF('Elenco immobili'!$C$13="","",'Elenco immobili'!$C$13)</f>
        <v/>
      </c>
      <c r="Q3" s="487" t="str">
        <f>IF('Elenco immobili'!$C$14="","",'Elenco immobili'!$C$14)</f>
        <v/>
      </c>
      <c r="R3" s="487" t="str">
        <f>IF('Elenco immobili'!$C$15="","",'Elenco immobili'!$C$15)</f>
        <v/>
      </c>
      <c r="S3" s="487" t="str">
        <f>IF('Elenco immobili'!$C$16="","",'Elenco immobili'!$C$16)</f>
        <v/>
      </c>
      <c r="T3" s="487" t="str">
        <f>IF('Elenco immobili'!$C$17="","",'Elenco immobili'!$C$17)</f>
        <v/>
      </c>
      <c r="U3" s="487" t="str">
        <f>IF('Elenco immobili'!$C$18="","",'Elenco immobili'!$C$18)</f>
        <v/>
      </c>
      <c r="V3" s="487" t="str">
        <f>IF('Elenco immobili'!$C$19="","",'Elenco immobili'!$C$19)</f>
        <v/>
      </c>
      <c r="W3" s="487" t="str">
        <f>IF('Elenco immobili'!$C$20="","",'Elenco immobili'!$C$20)</f>
        <v/>
      </c>
      <c r="X3" s="487" t="str">
        <f>IF('Elenco immobili'!$C$21="","",'Elenco immobili'!$C$21)</f>
        <v/>
      </c>
      <c r="Y3" s="487" t="str">
        <f>IF('Elenco immobili'!$C$22="","",'Elenco immobili'!$C$22)</f>
        <v/>
      </c>
      <c r="Z3" s="487" t="str">
        <f>IF('Elenco immobili'!$C$23="","",'Elenco immobili'!$C$23)</f>
        <v/>
      </c>
    </row>
    <row r="4" spans="1:57" ht="13.5" thickBot="1" x14ac:dyDescent="0.25">
      <c r="B4" s="105" t="s">
        <v>1089</v>
      </c>
      <c r="F4" s="125" t="s">
        <v>328</v>
      </c>
      <c r="G4" s="574">
        <v>46</v>
      </c>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57" thickBot="1" x14ac:dyDescent="0.25">
      <c r="A6" s="101"/>
      <c r="B6" s="121" t="s">
        <v>771</v>
      </c>
      <c r="C6" s="316" t="s">
        <v>988</v>
      </c>
      <c r="D6" s="123" t="s">
        <v>989</v>
      </c>
      <c r="E6" s="317" t="s">
        <v>990</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20.45" customHeight="1" thickBot="1" x14ac:dyDescent="0.25">
      <c r="A7" s="575"/>
      <c r="B7" s="995" t="s">
        <v>1090</v>
      </c>
      <c r="C7" s="1047" t="s">
        <v>1091</v>
      </c>
      <c r="D7" s="330" t="s">
        <v>1092</v>
      </c>
      <c r="E7" s="549">
        <v>8</v>
      </c>
      <c r="F7" s="1081" t="s">
        <v>876</v>
      </c>
      <c r="G7" s="1024">
        <v>500</v>
      </c>
      <c r="H7" s="1038"/>
      <c r="I7" s="1038"/>
      <c r="J7" s="1038"/>
      <c r="K7" s="1038"/>
      <c r="L7" s="1038"/>
      <c r="M7" s="1038"/>
      <c r="N7" s="1038"/>
      <c r="O7" s="1038"/>
      <c r="P7" s="1038"/>
      <c r="Q7" s="1038"/>
      <c r="R7" s="1038"/>
      <c r="S7" s="1038"/>
      <c r="T7" s="1038"/>
      <c r="U7" s="1038"/>
      <c r="V7" s="1038"/>
      <c r="W7" s="1038"/>
      <c r="X7" s="1038"/>
      <c r="Y7" s="1038"/>
      <c r="Z7" s="1038"/>
      <c r="AA7" s="1072">
        <v>1.99</v>
      </c>
      <c r="AB7" s="1015" t="s">
        <v>23</v>
      </c>
      <c r="AC7" s="1066">
        <f>'Ribassi PE'!$K$34</f>
        <v>0.37</v>
      </c>
      <c r="AD7" s="1069">
        <f t="shared" ref="AD7:AD14" si="0">ROUND(AA7*(1-AC7),3)</f>
        <v>1.254</v>
      </c>
      <c r="AE7" s="1066">
        <f>'Ribassi PE'!$M$34</f>
        <v>0.45</v>
      </c>
      <c r="AF7" s="1069">
        <f t="shared" ref="AF7:AF14" si="1">ROUND(AA7*(1-AE7),3)</f>
        <v>1.095</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20.45" customHeight="1" thickBot="1" x14ac:dyDescent="0.25">
      <c r="A8" s="575"/>
      <c r="B8" s="993"/>
      <c r="C8" s="1063"/>
      <c r="D8" s="308" t="s">
        <v>1093</v>
      </c>
      <c r="E8" s="550">
        <v>2</v>
      </c>
      <c r="F8" s="1082"/>
      <c r="G8" s="1026"/>
      <c r="H8" s="1039"/>
      <c r="I8" s="1039"/>
      <c r="J8" s="1039"/>
      <c r="K8" s="1039"/>
      <c r="L8" s="1039"/>
      <c r="M8" s="1039"/>
      <c r="N8" s="1039"/>
      <c r="O8" s="1039"/>
      <c r="P8" s="1039"/>
      <c r="Q8" s="1039"/>
      <c r="R8" s="1039"/>
      <c r="S8" s="1039"/>
      <c r="T8" s="1039"/>
      <c r="U8" s="1039"/>
      <c r="V8" s="1039"/>
      <c r="W8" s="1039"/>
      <c r="X8" s="1039"/>
      <c r="Y8" s="1039"/>
      <c r="Z8" s="1039"/>
      <c r="AA8" s="1073"/>
      <c r="AB8" s="1016"/>
      <c r="AC8" s="1067"/>
      <c r="AD8" s="1070"/>
      <c r="AE8" s="1067"/>
      <c r="AF8" s="1070"/>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ht="20.45" customHeight="1" thickBot="1" x14ac:dyDescent="0.25">
      <c r="A9" s="575"/>
      <c r="B9" s="993"/>
      <c r="C9" s="1063"/>
      <c r="D9" s="308" t="s">
        <v>1094</v>
      </c>
      <c r="E9" s="550">
        <v>1</v>
      </c>
      <c r="F9" s="1082"/>
      <c r="G9" s="1026"/>
      <c r="H9" s="1039"/>
      <c r="I9" s="1039"/>
      <c r="J9" s="1039"/>
      <c r="K9" s="1039"/>
      <c r="L9" s="1039"/>
      <c r="M9" s="1039"/>
      <c r="N9" s="1039"/>
      <c r="O9" s="1039"/>
      <c r="P9" s="1039"/>
      <c r="Q9" s="1039"/>
      <c r="R9" s="1039"/>
      <c r="S9" s="1039"/>
      <c r="T9" s="1039"/>
      <c r="U9" s="1039"/>
      <c r="V9" s="1039"/>
      <c r="W9" s="1039"/>
      <c r="X9" s="1039"/>
      <c r="Y9" s="1039"/>
      <c r="Z9" s="1039"/>
      <c r="AA9" s="1073"/>
      <c r="AB9" s="1016"/>
      <c r="AC9" s="1067"/>
      <c r="AD9" s="1070"/>
      <c r="AE9" s="1067"/>
      <c r="AF9" s="1070"/>
      <c r="AG9" s="576"/>
      <c r="AH9" s="576"/>
      <c r="AI9" s="576"/>
      <c r="AJ9" s="576"/>
      <c r="AK9" s="576"/>
      <c r="AL9" s="576"/>
      <c r="AM9" s="576"/>
      <c r="AN9" s="576"/>
      <c r="AO9" s="576"/>
      <c r="AP9" s="576"/>
      <c r="AQ9" s="576"/>
      <c r="AR9" s="576"/>
      <c r="AS9" s="576"/>
      <c r="AT9" s="576"/>
      <c r="AU9" s="576"/>
      <c r="AV9" s="576"/>
      <c r="AW9" s="576"/>
      <c r="AX9" s="576"/>
      <c r="AY9" s="576"/>
      <c r="AZ9" s="576"/>
      <c r="BA9" s="576"/>
      <c r="BB9" s="576"/>
      <c r="BC9" s="576"/>
      <c r="BD9" s="576"/>
      <c r="BE9" s="577"/>
    </row>
    <row r="10" spans="1:57" ht="20.45" customHeight="1" thickBot="1" x14ac:dyDescent="0.25">
      <c r="A10" s="575"/>
      <c r="B10" s="993"/>
      <c r="C10" s="1063"/>
      <c r="D10" s="308" t="s">
        <v>1095</v>
      </c>
      <c r="E10" s="550" t="s">
        <v>1205</v>
      </c>
      <c r="F10" s="1082"/>
      <c r="G10" s="1026"/>
      <c r="H10" s="1039"/>
      <c r="I10" s="1039"/>
      <c r="J10" s="1039"/>
      <c r="K10" s="1039"/>
      <c r="L10" s="1039"/>
      <c r="M10" s="1039"/>
      <c r="N10" s="1039"/>
      <c r="O10" s="1039"/>
      <c r="P10" s="1039"/>
      <c r="Q10" s="1039"/>
      <c r="R10" s="1039"/>
      <c r="S10" s="1039"/>
      <c r="T10" s="1039"/>
      <c r="U10" s="1039"/>
      <c r="V10" s="1039"/>
      <c r="W10" s="1039"/>
      <c r="X10" s="1039"/>
      <c r="Y10" s="1039"/>
      <c r="Z10" s="1039"/>
      <c r="AA10" s="1073"/>
      <c r="AB10" s="1016"/>
      <c r="AC10" s="1067"/>
      <c r="AD10" s="1070"/>
      <c r="AE10" s="1067"/>
      <c r="AF10" s="1070"/>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6"/>
      <c r="BD10" s="576"/>
      <c r="BE10" s="577"/>
    </row>
    <row r="11" spans="1:57" ht="20.45" customHeight="1" thickBot="1" x14ac:dyDescent="0.25">
      <c r="A11" s="575"/>
      <c r="B11" s="993"/>
      <c r="C11" s="1063"/>
      <c r="D11" s="308" t="s">
        <v>1096</v>
      </c>
      <c r="E11" s="550">
        <v>3</v>
      </c>
      <c r="F11" s="1082"/>
      <c r="G11" s="1026"/>
      <c r="H11" s="1039"/>
      <c r="I11" s="1039"/>
      <c r="J11" s="1039"/>
      <c r="K11" s="1039"/>
      <c r="L11" s="1039"/>
      <c r="M11" s="1039"/>
      <c r="N11" s="1039"/>
      <c r="O11" s="1039"/>
      <c r="P11" s="1039"/>
      <c r="Q11" s="1039"/>
      <c r="R11" s="1039"/>
      <c r="S11" s="1039"/>
      <c r="T11" s="1039"/>
      <c r="U11" s="1039"/>
      <c r="V11" s="1039"/>
      <c r="W11" s="1039"/>
      <c r="X11" s="1039"/>
      <c r="Y11" s="1039"/>
      <c r="Z11" s="1039"/>
      <c r="AA11" s="1073"/>
      <c r="AB11" s="1016"/>
      <c r="AC11" s="1067"/>
      <c r="AD11" s="1070"/>
      <c r="AE11" s="1067"/>
      <c r="AF11" s="1070"/>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6"/>
      <c r="BD11" s="576"/>
      <c r="BE11" s="577"/>
    </row>
    <row r="12" spans="1:57" ht="20.45" customHeight="1" thickBot="1" x14ac:dyDescent="0.25">
      <c r="A12" s="575"/>
      <c r="B12" s="993"/>
      <c r="C12" s="1063"/>
      <c r="D12" s="308" t="s">
        <v>1097</v>
      </c>
      <c r="E12" s="550">
        <v>1</v>
      </c>
      <c r="F12" s="1082"/>
      <c r="G12" s="1026"/>
      <c r="H12" s="1039"/>
      <c r="I12" s="1039"/>
      <c r="J12" s="1039"/>
      <c r="K12" s="1039"/>
      <c r="L12" s="1039"/>
      <c r="M12" s="1039"/>
      <c r="N12" s="1039"/>
      <c r="O12" s="1039"/>
      <c r="P12" s="1039"/>
      <c r="Q12" s="1039"/>
      <c r="R12" s="1039"/>
      <c r="S12" s="1039"/>
      <c r="T12" s="1039"/>
      <c r="U12" s="1039"/>
      <c r="V12" s="1039"/>
      <c r="W12" s="1039"/>
      <c r="X12" s="1039"/>
      <c r="Y12" s="1039"/>
      <c r="Z12" s="1039"/>
      <c r="AA12" s="1073"/>
      <c r="AB12" s="1016"/>
      <c r="AC12" s="1067"/>
      <c r="AD12" s="1070"/>
      <c r="AE12" s="1067"/>
      <c r="AF12" s="1070"/>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ht="20.45" customHeight="1" thickBot="1" x14ac:dyDescent="0.25">
      <c r="A13" s="575"/>
      <c r="B13" s="1059"/>
      <c r="C13" s="1048"/>
      <c r="D13" s="285" t="s">
        <v>1098</v>
      </c>
      <c r="E13" s="551">
        <v>2</v>
      </c>
      <c r="F13" s="1083"/>
      <c r="G13" s="1025"/>
      <c r="H13" s="1040"/>
      <c r="I13" s="1040"/>
      <c r="J13" s="1040"/>
      <c r="K13" s="1040"/>
      <c r="L13" s="1040"/>
      <c r="M13" s="1040"/>
      <c r="N13" s="1040"/>
      <c r="O13" s="1040"/>
      <c r="P13" s="1040"/>
      <c r="Q13" s="1040"/>
      <c r="R13" s="1040"/>
      <c r="S13" s="1040"/>
      <c r="T13" s="1040"/>
      <c r="U13" s="1040"/>
      <c r="V13" s="1040"/>
      <c r="W13" s="1040"/>
      <c r="X13" s="1040"/>
      <c r="Y13" s="1040"/>
      <c r="Z13" s="1040"/>
      <c r="AA13" s="1074"/>
      <c r="AB13" s="1017"/>
      <c r="AC13" s="1068"/>
      <c r="AD13" s="1071"/>
      <c r="AE13" s="1068"/>
      <c r="AF13" s="1071"/>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ht="12" thickBot="1" x14ac:dyDescent="0.25">
      <c r="A14" s="575"/>
      <c r="B14" s="995" t="s">
        <v>1099</v>
      </c>
      <c r="C14" s="1047" t="s">
        <v>1100</v>
      </c>
      <c r="D14" s="633" t="s">
        <v>1101</v>
      </c>
      <c r="E14" s="634">
        <v>6</v>
      </c>
      <c r="F14" s="1081" t="s">
        <v>876</v>
      </c>
      <c r="G14" s="1024">
        <v>500</v>
      </c>
      <c r="H14" s="1038"/>
      <c r="I14" s="1038"/>
      <c r="J14" s="1038"/>
      <c r="K14" s="1038"/>
      <c r="L14" s="1038"/>
      <c r="M14" s="1038"/>
      <c r="N14" s="1038"/>
      <c r="O14" s="1038"/>
      <c r="P14" s="1038"/>
      <c r="Q14" s="1038"/>
      <c r="R14" s="1038"/>
      <c r="S14" s="1038"/>
      <c r="T14" s="1038"/>
      <c r="U14" s="1038"/>
      <c r="V14" s="1038"/>
      <c r="W14" s="1038"/>
      <c r="X14" s="1038"/>
      <c r="Y14" s="1038"/>
      <c r="Z14" s="1038"/>
      <c r="AA14" s="1084">
        <v>0.52200000000000002</v>
      </c>
      <c r="AB14" s="1015" t="s">
        <v>23</v>
      </c>
      <c r="AC14" s="1087">
        <f>'Ribassi PE'!$K$34</f>
        <v>0.37</v>
      </c>
      <c r="AD14" s="1072">
        <f t="shared" si="0"/>
        <v>0.32900000000000001</v>
      </c>
      <c r="AE14" s="1066">
        <f>'Ribassi PE'!$M$34</f>
        <v>0.45</v>
      </c>
      <c r="AF14" s="1072">
        <f t="shared" si="1"/>
        <v>0.28699999999999998</v>
      </c>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ht="23.25" thickBot="1" x14ac:dyDescent="0.25">
      <c r="A15" s="575"/>
      <c r="B15" s="1059"/>
      <c r="C15" s="1048"/>
      <c r="D15" s="635" t="s">
        <v>1096</v>
      </c>
      <c r="E15" s="636">
        <v>3</v>
      </c>
      <c r="F15" s="1083"/>
      <c r="G15" s="1025"/>
      <c r="H15" s="1040"/>
      <c r="I15" s="1040"/>
      <c r="J15" s="1040"/>
      <c r="K15" s="1040"/>
      <c r="L15" s="1040"/>
      <c r="M15" s="1040"/>
      <c r="N15" s="1040"/>
      <c r="O15" s="1040"/>
      <c r="P15" s="1040"/>
      <c r="Q15" s="1040"/>
      <c r="R15" s="1040"/>
      <c r="S15" s="1040"/>
      <c r="T15" s="1040"/>
      <c r="U15" s="1040"/>
      <c r="V15" s="1040"/>
      <c r="W15" s="1040"/>
      <c r="X15" s="1040"/>
      <c r="Y15" s="1040"/>
      <c r="Z15" s="1040"/>
      <c r="AA15" s="1086"/>
      <c r="AB15" s="1017"/>
      <c r="AC15" s="1089"/>
      <c r="AD15" s="1074"/>
      <c r="AE15" s="1068"/>
      <c r="AF15" s="1074"/>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ht="20.45" customHeight="1" thickBot="1" x14ac:dyDescent="0.25">
      <c r="A16" s="575"/>
      <c r="B16" s="1075" t="s">
        <v>1102</v>
      </c>
      <c r="C16" s="1078" t="s">
        <v>1103</v>
      </c>
      <c r="D16" s="633" t="s">
        <v>1104</v>
      </c>
      <c r="E16" s="549">
        <v>1</v>
      </c>
      <c r="F16" s="1081" t="s">
        <v>1280</v>
      </c>
      <c r="G16" s="1024">
        <v>500</v>
      </c>
      <c r="H16" s="1038"/>
      <c r="I16" s="1038"/>
      <c r="J16" s="1038"/>
      <c r="K16" s="1038"/>
      <c r="L16" s="1038"/>
      <c r="M16" s="1038"/>
      <c r="N16" s="1038"/>
      <c r="O16" s="1038"/>
      <c r="P16" s="1038"/>
      <c r="Q16" s="1038"/>
      <c r="R16" s="1038"/>
      <c r="S16" s="1038"/>
      <c r="T16" s="1038"/>
      <c r="U16" s="1038"/>
      <c r="V16" s="1038"/>
      <c r="W16" s="1038"/>
      <c r="X16" s="1038"/>
      <c r="Y16" s="1038"/>
      <c r="Z16" s="1038"/>
      <c r="AA16" s="1072">
        <v>10.239000000000001</v>
      </c>
      <c r="AB16" s="1015" t="s">
        <v>23</v>
      </c>
      <c r="AC16" s="1066">
        <f>'Ribassi PE'!$K$34</f>
        <v>0.37</v>
      </c>
      <c r="AD16" s="1069">
        <f t="shared" ref="AD16" si="2">ROUND(AA16*(1-AC16),3)</f>
        <v>6.4509999999999996</v>
      </c>
      <c r="AE16" s="1066">
        <f>'Ribassi PE'!$M$34</f>
        <v>0.45</v>
      </c>
      <c r="AF16" s="1069">
        <f t="shared" ref="AF16" si="3">ROUND(AA16*(1-AE16),3)</f>
        <v>5.6310000000000002</v>
      </c>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ht="20.45" customHeight="1" thickBot="1" x14ac:dyDescent="0.25">
      <c r="A17" s="575"/>
      <c r="B17" s="1076"/>
      <c r="C17" s="1079"/>
      <c r="D17" s="637" t="s">
        <v>1105</v>
      </c>
      <c r="E17" s="550">
        <v>1</v>
      </c>
      <c r="F17" s="1082"/>
      <c r="G17" s="1026"/>
      <c r="H17" s="1039"/>
      <c r="I17" s="1039"/>
      <c r="J17" s="1039"/>
      <c r="K17" s="1039"/>
      <c r="L17" s="1039"/>
      <c r="M17" s="1039"/>
      <c r="N17" s="1039"/>
      <c r="O17" s="1039"/>
      <c r="P17" s="1039"/>
      <c r="Q17" s="1039"/>
      <c r="R17" s="1039"/>
      <c r="S17" s="1039"/>
      <c r="T17" s="1039"/>
      <c r="U17" s="1039"/>
      <c r="V17" s="1039"/>
      <c r="W17" s="1039"/>
      <c r="X17" s="1039"/>
      <c r="Y17" s="1039"/>
      <c r="Z17" s="1039"/>
      <c r="AA17" s="1073"/>
      <c r="AB17" s="1016"/>
      <c r="AC17" s="1067"/>
      <c r="AD17" s="1070"/>
      <c r="AE17" s="1067"/>
      <c r="AF17" s="1070"/>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ht="20.45" customHeight="1" thickBot="1" x14ac:dyDescent="0.25">
      <c r="A18" s="575"/>
      <c r="B18" s="1076"/>
      <c r="C18" s="1079"/>
      <c r="D18" s="637" t="s">
        <v>1098</v>
      </c>
      <c r="E18" s="550">
        <v>2</v>
      </c>
      <c r="F18" s="1082"/>
      <c r="G18" s="1026"/>
      <c r="H18" s="1039"/>
      <c r="I18" s="1039"/>
      <c r="J18" s="1039"/>
      <c r="K18" s="1039"/>
      <c r="L18" s="1039"/>
      <c r="M18" s="1039"/>
      <c r="N18" s="1039"/>
      <c r="O18" s="1039"/>
      <c r="P18" s="1039"/>
      <c r="Q18" s="1039"/>
      <c r="R18" s="1039"/>
      <c r="S18" s="1039"/>
      <c r="T18" s="1039"/>
      <c r="U18" s="1039"/>
      <c r="V18" s="1039"/>
      <c r="W18" s="1039"/>
      <c r="X18" s="1039"/>
      <c r="Y18" s="1039"/>
      <c r="Z18" s="1039"/>
      <c r="AA18" s="1073"/>
      <c r="AB18" s="1016"/>
      <c r="AC18" s="1067"/>
      <c r="AD18" s="1070"/>
      <c r="AE18" s="1067"/>
      <c r="AF18" s="1070"/>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ht="20.45" customHeight="1" thickBot="1" x14ac:dyDescent="0.25">
      <c r="A19" s="575"/>
      <c r="B19" s="1076"/>
      <c r="C19" s="1079"/>
      <c r="D19" s="637" t="s">
        <v>1106</v>
      </c>
      <c r="E19" s="550">
        <v>2</v>
      </c>
      <c r="F19" s="1082"/>
      <c r="G19" s="1026"/>
      <c r="H19" s="1039"/>
      <c r="I19" s="1039"/>
      <c r="J19" s="1039"/>
      <c r="K19" s="1039"/>
      <c r="L19" s="1039"/>
      <c r="M19" s="1039"/>
      <c r="N19" s="1039"/>
      <c r="O19" s="1039"/>
      <c r="P19" s="1039"/>
      <c r="Q19" s="1039"/>
      <c r="R19" s="1039"/>
      <c r="S19" s="1039"/>
      <c r="T19" s="1039"/>
      <c r="U19" s="1039"/>
      <c r="V19" s="1039"/>
      <c r="W19" s="1039"/>
      <c r="X19" s="1039"/>
      <c r="Y19" s="1039"/>
      <c r="Z19" s="1039"/>
      <c r="AA19" s="1073"/>
      <c r="AB19" s="1016"/>
      <c r="AC19" s="1067"/>
      <c r="AD19" s="1070"/>
      <c r="AE19" s="1067"/>
      <c r="AF19" s="1070"/>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7"/>
    </row>
    <row r="20" spans="1:57" ht="20.45" customHeight="1" thickBot="1" x14ac:dyDescent="0.25">
      <c r="A20" s="575"/>
      <c r="B20" s="1076"/>
      <c r="C20" s="1079"/>
      <c r="D20" s="637" t="s">
        <v>1107</v>
      </c>
      <c r="E20" s="550" t="s">
        <v>1205</v>
      </c>
      <c r="F20" s="1082"/>
      <c r="G20" s="1026"/>
      <c r="H20" s="1039"/>
      <c r="I20" s="1039"/>
      <c r="J20" s="1039"/>
      <c r="K20" s="1039"/>
      <c r="L20" s="1039"/>
      <c r="M20" s="1039"/>
      <c r="N20" s="1039"/>
      <c r="O20" s="1039"/>
      <c r="P20" s="1039"/>
      <c r="Q20" s="1039"/>
      <c r="R20" s="1039"/>
      <c r="S20" s="1039"/>
      <c r="T20" s="1039"/>
      <c r="U20" s="1039"/>
      <c r="V20" s="1039"/>
      <c r="W20" s="1039"/>
      <c r="X20" s="1039"/>
      <c r="Y20" s="1039"/>
      <c r="Z20" s="1039"/>
      <c r="AA20" s="1073"/>
      <c r="AB20" s="1016"/>
      <c r="AC20" s="1067"/>
      <c r="AD20" s="1070"/>
      <c r="AE20" s="1067"/>
      <c r="AF20" s="1070"/>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7"/>
    </row>
    <row r="21" spans="1:57" ht="20.45" customHeight="1" thickBot="1" x14ac:dyDescent="0.25">
      <c r="A21" s="575"/>
      <c r="B21" s="1076"/>
      <c r="C21" s="1079"/>
      <c r="D21" s="637" t="s">
        <v>1108</v>
      </c>
      <c r="E21" s="550">
        <v>1</v>
      </c>
      <c r="F21" s="1082"/>
      <c r="G21" s="1026"/>
      <c r="H21" s="1039"/>
      <c r="I21" s="1039"/>
      <c r="J21" s="1039"/>
      <c r="K21" s="1039"/>
      <c r="L21" s="1039"/>
      <c r="M21" s="1039"/>
      <c r="N21" s="1039"/>
      <c r="O21" s="1039"/>
      <c r="P21" s="1039"/>
      <c r="Q21" s="1039"/>
      <c r="R21" s="1039"/>
      <c r="S21" s="1039"/>
      <c r="T21" s="1039"/>
      <c r="U21" s="1039"/>
      <c r="V21" s="1039"/>
      <c r="W21" s="1039"/>
      <c r="X21" s="1039"/>
      <c r="Y21" s="1039"/>
      <c r="Z21" s="1039"/>
      <c r="AA21" s="1073"/>
      <c r="AB21" s="1016"/>
      <c r="AC21" s="1067"/>
      <c r="AD21" s="1070"/>
      <c r="AE21" s="1067"/>
      <c r="AF21" s="1070"/>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7"/>
    </row>
    <row r="22" spans="1:57" ht="20.45" customHeight="1" thickBot="1" x14ac:dyDescent="0.25">
      <c r="A22" s="575"/>
      <c r="B22" s="1077"/>
      <c r="C22" s="1080"/>
      <c r="D22" s="635" t="s">
        <v>1109</v>
      </c>
      <c r="E22" s="551" t="s">
        <v>1205</v>
      </c>
      <c r="F22" s="1083"/>
      <c r="G22" s="1025"/>
      <c r="H22" s="1040"/>
      <c r="I22" s="1040"/>
      <c r="J22" s="1040"/>
      <c r="K22" s="1040"/>
      <c r="L22" s="1040"/>
      <c r="M22" s="1040"/>
      <c r="N22" s="1040"/>
      <c r="O22" s="1040"/>
      <c r="P22" s="1040"/>
      <c r="Q22" s="1040"/>
      <c r="R22" s="1040"/>
      <c r="S22" s="1040"/>
      <c r="T22" s="1040"/>
      <c r="U22" s="1040"/>
      <c r="V22" s="1040"/>
      <c r="W22" s="1040"/>
      <c r="X22" s="1040"/>
      <c r="Y22" s="1040"/>
      <c r="Z22" s="1040"/>
      <c r="AA22" s="1074"/>
      <c r="AB22" s="1017"/>
      <c r="AC22" s="1068"/>
      <c r="AD22" s="1071"/>
      <c r="AE22" s="1068"/>
      <c r="AF22" s="1071"/>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ht="11.1" customHeight="1" thickBot="1" x14ac:dyDescent="0.25">
      <c r="A23" s="575"/>
      <c r="B23" s="1075" t="s">
        <v>1110</v>
      </c>
      <c r="C23" s="1078" t="s">
        <v>1111</v>
      </c>
      <c r="D23" s="638" t="s">
        <v>1098</v>
      </c>
      <c r="E23" s="549">
        <v>2</v>
      </c>
      <c r="F23" s="1081" t="s">
        <v>876</v>
      </c>
      <c r="G23" s="1024">
        <v>50</v>
      </c>
      <c r="H23" s="1038"/>
      <c r="I23" s="1038"/>
      <c r="J23" s="1038"/>
      <c r="K23" s="1038"/>
      <c r="L23" s="1038"/>
      <c r="M23" s="1038"/>
      <c r="N23" s="1038"/>
      <c r="O23" s="1038"/>
      <c r="P23" s="1038"/>
      <c r="Q23" s="1038"/>
      <c r="R23" s="1038"/>
      <c r="S23" s="1038"/>
      <c r="T23" s="1038"/>
      <c r="U23" s="1038"/>
      <c r="V23" s="1038"/>
      <c r="W23" s="1038"/>
      <c r="X23" s="1038"/>
      <c r="Y23" s="1038"/>
      <c r="Z23" s="1038"/>
      <c r="AA23" s="1084">
        <v>15.46</v>
      </c>
      <c r="AB23" s="1015" t="s">
        <v>23</v>
      </c>
      <c r="AC23" s="1087">
        <f>'Ribassi PE'!$K$34</f>
        <v>0.37</v>
      </c>
      <c r="AD23" s="1072">
        <f t="shared" ref="AD23" si="4">ROUND(AA23*(1-AC23),3)</f>
        <v>9.74</v>
      </c>
      <c r="AE23" s="1066">
        <f>'Ribassi PE'!$M$34</f>
        <v>0.45</v>
      </c>
      <c r="AF23" s="1072">
        <f t="shared" ref="AF23" si="5">ROUND(AA23*(1-AE23),3)</f>
        <v>8.5030000000000001</v>
      </c>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ht="12" thickBot="1" x14ac:dyDescent="0.25">
      <c r="A24" s="575"/>
      <c r="B24" s="1076"/>
      <c r="C24" s="1079"/>
      <c r="D24" s="639" t="s">
        <v>1108</v>
      </c>
      <c r="E24" s="550">
        <v>8</v>
      </c>
      <c r="F24" s="1082"/>
      <c r="G24" s="1026"/>
      <c r="H24" s="1039"/>
      <c r="I24" s="1039"/>
      <c r="J24" s="1039"/>
      <c r="K24" s="1039"/>
      <c r="L24" s="1039"/>
      <c r="M24" s="1039"/>
      <c r="N24" s="1039"/>
      <c r="O24" s="1039"/>
      <c r="P24" s="1039"/>
      <c r="Q24" s="1039"/>
      <c r="R24" s="1039"/>
      <c r="S24" s="1039"/>
      <c r="T24" s="1039"/>
      <c r="U24" s="1039"/>
      <c r="V24" s="1039"/>
      <c r="W24" s="1039"/>
      <c r="X24" s="1039"/>
      <c r="Y24" s="1039"/>
      <c r="Z24" s="1039"/>
      <c r="AA24" s="1085"/>
      <c r="AB24" s="1016"/>
      <c r="AC24" s="1088"/>
      <c r="AD24" s="1073"/>
      <c r="AE24" s="1067"/>
      <c r="AF24" s="1073"/>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ht="45.75" thickBot="1" x14ac:dyDescent="0.25">
      <c r="A25" s="575"/>
      <c r="B25" s="1076"/>
      <c r="C25" s="1079"/>
      <c r="D25" s="639" t="s">
        <v>1112</v>
      </c>
      <c r="E25" s="550">
        <v>2</v>
      </c>
      <c r="F25" s="1082"/>
      <c r="G25" s="1026"/>
      <c r="H25" s="1039"/>
      <c r="I25" s="1039"/>
      <c r="J25" s="1039"/>
      <c r="K25" s="1039"/>
      <c r="L25" s="1039"/>
      <c r="M25" s="1039"/>
      <c r="N25" s="1039"/>
      <c r="O25" s="1039"/>
      <c r="P25" s="1039"/>
      <c r="Q25" s="1039"/>
      <c r="R25" s="1039"/>
      <c r="S25" s="1039"/>
      <c r="T25" s="1039"/>
      <c r="U25" s="1039"/>
      <c r="V25" s="1039"/>
      <c r="W25" s="1039"/>
      <c r="X25" s="1039"/>
      <c r="Y25" s="1039"/>
      <c r="Z25" s="1039"/>
      <c r="AA25" s="1085"/>
      <c r="AB25" s="1016"/>
      <c r="AC25" s="1088"/>
      <c r="AD25" s="1073"/>
      <c r="AE25" s="1067"/>
      <c r="AF25" s="1073"/>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ht="12" thickBot="1" x14ac:dyDescent="0.25">
      <c r="A26" s="575"/>
      <c r="B26" s="1077"/>
      <c r="C26" s="1080"/>
      <c r="D26" s="640" t="s">
        <v>1113</v>
      </c>
      <c r="E26" s="551" t="s">
        <v>1205</v>
      </c>
      <c r="F26" s="1083"/>
      <c r="G26" s="1025"/>
      <c r="H26" s="1040"/>
      <c r="I26" s="1040"/>
      <c r="J26" s="1040"/>
      <c r="K26" s="1040"/>
      <c r="L26" s="1040"/>
      <c r="M26" s="1040"/>
      <c r="N26" s="1040"/>
      <c r="O26" s="1040"/>
      <c r="P26" s="1040"/>
      <c r="Q26" s="1040"/>
      <c r="R26" s="1040"/>
      <c r="S26" s="1040"/>
      <c r="T26" s="1040"/>
      <c r="U26" s="1040"/>
      <c r="V26" s="1040"/>
      <c r="W26" s="1040"/>
      <c r="X26" s="1040"/>
      <c r="Y26" s="1040"/>
      <c r="Z26" s="1040"/>
      <c r="AA26" s="1086"/>
      <c r="AB26" s="1017"/>
      <c r="AC26" s="1089"/>
      <c r="AD26" s="1074"/>
      <c r="AE26" s="1068"/>
      <c r="AF26" s="1074"/>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ht="20.45" customHeight="1" thickBot="1" x14ac:dyDescent="0.25">
      <c r="A27" s="575"/>
      <c r="B27" s="1075" t="s">
        <v>1114</v>
      </c>
      <c r="C27" s="1078" t="s">
        <v>1115</v>
      </c>
      <c r="D27" s="638" t="s">
        <v>1116</v>
      </c>
      <c r="E27" s="549">
        <v>1</v>
      </c>
      <c r="F27" s="1081" t="s">
        <v>1204</v>
      </c>
      <c r="G27" s="1024">
        <v>10</v>
      </c>
      <c r="H27" s="1038"/>
      <c r="I27" s="1038"/>
      <c r="J27" s="1038"/>
      <c r="K27" s="1038"/>
      <c r="L27" s="1038"/>
      <c r="M27" s="1038"/>
      <c r="N27" s="1038"/>
      <c r="O27" s="1038"/>
      <c r="P27" s="1038"/>
      <c r="Q27" s="1038"/>
      <c r="R27" s="1038"/>
      <c r="S27" s="1038"/>
      <c r="T27" s="1038"/>
      <c r="U27" s="1038"/>
      <c r="V27" s="1038"/>
      <c r="W27" s="1038"/>
      <c r="X27" s="1038"/>
      <c r="Y27" s="1038"/>
      <c r="Z27" s="1038"/>
      <c r="AA27" s="1072">
        <v>253.33</v>
      </c>
      <c r="AB27" s="1015" t="s">
        <v>23</v>
      </c>
      <c r="AC27" s="1066">
        <f>'Ribassi PE'!$K$34</f>
        <v>0.37</v>
      </c>
      <c r="AD27" s="1069">
        <f t="shared" ref="AD27" si="6">ROUND(AA27*(1-AC27),3)</f>
        <v>159.59800000000001</v>
      </c>
      <c r="AE27" s="1066">
        <f>'Ribassi PE'!$M$34</f>
        <v>0.45</v>
      </c>
      <c r="AF27" s="1069">
        <f t="shared" ref="AF27" si="7">ROUND(AA27*(1-AE27),3)</f>
        <v>139.33199999999999</v>
      </c>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ht="20.45" customHeight="1" thickBot="1" x14ac:dyDescent="0.25">
      <c r="A28" s="575"/>
      <c r="B28" s="1076"/>
      <c r="C28" s="1079"/>
      <c r="D28" s="639" t="s">
        <v>1117</v>
      </c>
      <c r="E28" s="550">
        <v>1</v>
      </c>
      <c r="F28" s="1082"/>
      <c r="G28" s="1026"/>
      <c r="H28" s="1039"/>
      <c r="I28" s="1039"/>
      <c r="J28" s="1039"/>
      <c r="K28" s="1039"/>
      <c r="L28" s="1039"/>
      <c r="M28" s="1039"/>
      <c r="N28" s="1039"/>
      <c r="O28" s="1039"/>
      <c r="P28" s="1039"/>
      <c r="Q28" s="1039"/>
      <c r="R28" s="1039"/>
      <c r="S28" s="1039"/>
      <c r="T28" s="1039"/>
      <c r="U28" s="1039"/>
      <c r="V28" s="1039"/>
      <c r="W28" s="1039"/>
      <c r="X28" s="1039"/>
      <c r="Y28" s="1039"/>
      <c r="Z28" s="1039"/>
      <c r="AA28" s="1073"/>
      <c r="AB28" s="1016"/>
      <c r="AC28" s="1067"/>
      <c r="AD28" s="1070"/>
      <c r="AE28" s="1067"/>
      <c r="AF28" s="1070"/>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ht="20.45" customHeight="1" thickBot="1" x14ac:dyDescent="0.25">
      <c r="A29" s="575"/>
      <c r="B29" s="1076"/>
      <c r="C29" s="1079"/>
      <c r="D29" s="639" t="s">
        <v>1118</v>
      </c>
      <c r="E29" s="550" t="s">
        <v>1205</v>
      </c>
      <c r="F29" s="1082"/>
      <c r="G29" s="1026"/>
      <c r="H29" s="1039"/>
      <c r="I29" s="1039"/>
      <c r="J29" s="1039"/>
      <c r="K29" s="1039"/>
      <c r="L29" s="1039"/>
      <c r="M29" s="1039"/>
      <c r="N29" s="1039"/>
      <c r="O29" s="1039"/>
      <c r="P29" s="1039"/>
      <c r="Q29" s="1039"/>
      <c r="R29" s="1039"/>
      <c r="S29" s="1039"/>
      <c r="T29" s="1039"/>
      <c r="U29" s="1039"/>
      <c r="V29" s="1039"/>
      <c r="W29" s="1039"/>
      <c r="X29" s="1039"/>
      <c r="Y29" s="1039"/>
      <c r="Z29" s="1039"/>
      <c r="AA29" s="1073"/>
      <c r="AB29" s="1016"/>
      <c r="AC29" s="1067"/>
      <c r="AD29" s="1070"/>
      <c r="AE29" s="1067"/>
      <c r="AF29" s="1070"/>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ht="20.45" customHeight="1" thickBot="1" x14ac:dyDescent="0.25">
      <c r="A30" s="575"/>
      <c r="B30" s="1076"/>
      <c r="C30" s="1079"/>
      <c r="D30" s="639" t="s">
        <v>1119</v>
      </c>
      <c r="E30" s="550">
        <v>12</v>
      </c>
      <c r="F30" s="1082"/>
      <c r="G30" s="1026"/>
      <c r="H30" s="1039"/>
      <c r="I30" s="1039"/>
      <c r="J30" s="1039"/>
      <c r="K30" s="1039"/>
      <c r="L30" s="1039"/>
      <c r="M30" s="1039"/>
      <c r="N30" s="1039"/>
      <c r="O30" s="1039"/>
      <c r="P30" s="1039"/>
      <c r="Q30" s="1039"/>
      <c r="R30" s="1039"/>
      <c r="S30" s="1039"/>
      <c r="T30" s="1039"/>
      <c r="U30" s="1039"/>
      <c r="V30" s="1039"/>
      <c r="W30" s="1039"/>
      <c r="X30" s="1039"/>
      <c r="Y30" s="1039"/>
      <c r="Z30" s="1039"/>
      <c r="AA30" s="1073"/>
      <c r="AB30" s="1016"/>
      <c r="AC30" s="1067"/>
      <c r="AD30" s="1070"/>
      <c r="AE30" s="1067"/>
      <c r="AF30" s="1070"/>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ht="20.45" customHeight="1" thickBot="1" x14ac:dyDescent="0.25">
      <c r="A31" s="575"/>
      <c r="B31" s="1076"/>
      <c r="C31" s="1079"/>
      <c r="D31" s="639" t="s">
        <v>1120</v>
      </c>
      <c r="E31" s="550">
        <v>1</v>
      </c>
      <c r="F31" s="1082"/>
      <c r="G31" s="1026"/>
      <c r="H31" s="1039"/>
      <c r="I31" s="1039"/>
      <c r="J31" s="1039"/>
      <c r="K31" s="1039"/>
      <c r="L31" s="1039"/>
      <c r="M31" s="1039"/>
      <c r="N31" s="1039"/>
      <c r="O31" s="1039"/>
      <c r="P31" s="1039"/>
      <c r="Q31" s="1039"/>
      <c r="R31" s="1039"/>
      <c r="S31" s="1039"/>
      <c r="T31" s="1039"/>
      <c r="U31" s="1039"/>
      <c r="V31" s="1039"/>
      <c r="W31" s="1039"/>
      <c r="X31" s="1039"/>
      <c r="Y31" s="1039"/>
      <c r="Z31" s="1039"/>
      <c r="AA31" s="1073"/>
      <c r="AB31" s="1016"/>
      <c r="AC31" s="1067"/>
      <c r="AD31" s="1070"/>
      <c r="AE31" s="1067"/>
      <c r="AF31" s="1070"/>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ht="20.45" customHeight="1" thickBot="1" x14ac:dyDescent="0.25">
      <c r="A32" s="575"/>
      <c r="B32" s="1076"/>
      <c r="C32" s="1079"/>
      <c r="D32" s="639" t="s">
        <v>1121</v>
      </c>
      <c r="E32" s="550">
        <v>1</v>
      </c>
      <c r="F32" s="1082"/>
      <c r="G32" s="1026"/>
      <c r="H32" s="1039"/>
      <c r="I32" s="1039"/>
      <c r="J32" s="1039"/>
      <c r="K32" s="1039"/>
      <c r="L32" s="1039"/>
      <c r="M32" s="1039"/>
      <c r="N32" s="1039"/>
      <c r="O32" s="1039"/>
      <c r="P32" s="1039"/>
      <c r="Q32" s="1039"/>
      <c r="R32" s="1039"/>
      <c r="S32" s="1039"/>
      <c r="T32" s="1039"/>
      <c r="U32" s="1039"/>
      <c r="V32" s="1039"/>
      <c r="W32" s="1039"/>
      <c r="X32" s="1039"/>
      <c r="Y32" s="1039"/>
      <c r="Z32" s="1039"/>
      <c r="AA32" s="1073"/>
      <c r="AB32" s="1016"/>
      <c r="AC32" s="1067"/>
      <c r="AD32" s="1070"/>
      <c r="AE32" s="1067"/>
      <c r="AF32" s="1070"/>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ht="20.45" customHeight="1" thickBot="1" x14ac:dyDescent="0.25">
      <c r="A33" s="575"/>
      <c r="B33" s="1077"/>
      <c r="C33" s="1080"/>
      <c r="D33" s="640" t="s">
        <v>1122</v>
      </c>
      <c r="E33" s="551">
        <v>2</v>
      </c>
      <c r="F33" s="1083"/>
      <c r="G33" s="1025"/>
      <c r="H33" s="1040"/>
      <c r="I33" s="1040"/>
      <c r="J33" s="1040"/>
      <c r="K33" s="1040"/>
      <c r="L33" s="1040"/>
      <c r="M33" s="1040"/>
      <c r="N33" s="1040"/>
      <c r="O33" s="1040"/>
      <c r="P33" s="1040"/>
      <c r="Q33" s="1040"/>
      <c r="R33" s="1040"/>
      <c r="S33" s="1040"/>
      <c r="T33" s="1040"/>
      <c r="U33" s="1040"/>
      <c r="V33" s="1040"/>
      <c r="W33" s="1040"/>
      <c r="X33" s="1040"/>
      <c r="Y33" s="1040"/>
      <c r="Z33" s="1040"/>
      <c r="AA33" s="1074"/>
      <c r="AB33" s="1017"/>
      <c r="AC33" s="1068"/>
      <c r="AD33" s="1071"/>
      <c r="AE33" s="1068"/>
      <c r="AF33" s="1071"/>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s="99" customFormat="1" ht="12.75" thickBot="1" x14ac:dyDescent="0.25">
      <c r="A34" s="98"/>
      <c r="B34" s="98"/>
      <c r="C34" s="98"/>
      <c r="D34" s="98"/>
      <c r="E34" s="106"/>
      <c r="F34" s="125" t="s">
        <v>329</v>
      </c>
      <c r="G34" s="126">
        <f>SUMPRODUCT(G7:G33,$AA$7:$AA$33)*G$4/12</f>
        <v>37113.566666666666</v>
      </c>
      <c r="H34" s="126">
        <f t="shared" ref="H34:Z34" si="8">SUMPRODUCT(H7:H33,$AA$7:$AA$33)*H$4/12</f>
        <v>0</v>
      </c>
      <c r="I34" s="126">
        <f t="shared" si="8"/>
        <v>0</v>
      </c>
      <c r="J34" s="126">
        <f t="shared" si="8"/>
        <v>0</v>
      </c>
      <c r="K34" s="126">
        <f t="shared" si="8"/>
        <v>0</v>
      </c>
      <c r="L34" s="126">
        <f t="shared" si="8"/>
        <v>0</v>
      </c>
      <c r="M34" s="126">
        <f t="shared" si="8"/>
        <v>0</v>
      </c>
      <c r="N34" s="126">
        <f t="shared" si="8"/>
        <v>0</v>
      </c>
      <c r="O34" s="126">
        <f t="shared" si="8"/>
        <v>0</v>
      </c>
      <c r="P34" s="126">
        <f t="shared" si="8"/>
        <v>0</v>
      </c>
      <c r="Q34" s="126">
        <f t="shared" si="8"/>
        <v>0</v>
      </c>
      <c r="R34" s="126">
        <f t="shared" si="8"/>
        <v>0</v>
      </c>
      <c r="S34" s="126">
        <f t="shared" si="8"/>
        <v>0</v>
      </c>
      <c r="T34" s="126">
        <f t="shared" si="8"/>
        <v>0</v>
      </c>
      <c r="U34" s="126">
        <f t="shared" si="8"/>
        <v>0</v>
      </c>
      <c r="V34" s="126">
        <f t="shared" si="8"/>
        <v>0</v>
      </c>
      <c r="W34" s="126">
        <f t="shared" si="8"/>
        <v>0</v>
      </c>
      <c r="X34" s="126">
        <f t="shared" si="8"/>
        <v>0</v>
      </c>
      <c r="Y34" s="126">
        <f t="shared" si="8"/>
        <v>0</v>
      </c>
      <c r="Z34" s="126">
        <f t="shared" si="8"/>
        <v>0</v>
      </c>
      <c r="AA34" s="107"/>
      <c r="AB34" s="108"/>
      <c r="AC34" s="108"/>
      <c r="AD34" s="108"/>
      <c r="AE34" s="108"/>
      <c r="AF34" s="10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6"/>
    </row>
    <row r="35" spans="1:57" s="99" customFormat="1" ht="12.75" thickBot="1" x14ac:dyDescent="0.25">
      <c r="A35" s="98"/>
      <c r="B35" s="98"/>
      <c r="C35" s="98"/>
      <c r="D35" s="98"/>
      <c r="E35" s="106"/>
      <c r="F35" s="581" t="s">
        <v>330</v>
      </c>
      <c r="G35" s="201">
        <f>SUMPRODUCT(G7:G33,$AD$7:$AD$33)*G$4/12</f>
        <v>23383.256666666664</v>
      </c>
      <c r="H35" s="201">
        <f t="shared" ref="H35:Z35" si="9">SUMPRODUCT(H7:H33,$AD$7:$AD$33)*H$4/12</f>
        <v>0</v>
      </c>
      <c r="I35" s="201">
        <f t="shared" si="9"/>
        <v>0</v>
      </c>
      <c r="J35" s="201">
        <f t="shared" si="9"/>
        <v>0</v>
      </c>
      <c r="K35" s="201">
        <f t="shared" si="9"/>
        <v>0</v>
      </c>
      <c r="L35" s="201">
        <f t="shared" si="9"/>
        <v>0</v>
      </c>
      <c r="M35" s="201">
        <f t="shared" si="9"/>
        <v>0</v>
      </c>
      <c r="N35" s="201">
        <f t="shared" si="9"/>
        <v>0</v>
      </c>
      <c r="O35" s="201">
        <f t="shared" si="9"/>
        <v>0</v>
      </c>
      <c r="P35" s="201">
        <f t="shared" si="9"/>
        <v>0</v>
      </c>
      <c r="Q35" s="201">
        <f t="shared" si="9"/>
        <v>0</v>
      </c>
      <c r="R35" s="201">
        <f t="shared" si="9"/>
        <v>0</v>
      </c>
      <c r="S35" s="201">
        <f t="shared" si="9"/>
        <v>0</v>
      </c>
      <c r="T35" s="201">
        <f t="shared" si="9"/>
        <v>0</v>
      </c>
      <c r="U35" s="201">
        <f t="shared" si="9"/>
        <v>0</v>
      </c>
      <c r="V35" s="201">
        <f t="shared" si="9"/>
        <v>0</v>
      </c>
      <c r="W35" s="201">
        <f t="shared" si="9"/>
        <v>0</v>
      </c>
      <c r="X35" s="201">
        <f t="shared" si="9"/>
        <v>0</v>
      </c>
      <c r="Y35" s="201">
        <f t="shared" si="9"/>
        <v>0</v>
      </c>
      <c r="Z35" s="201">
        <f t="shared" si="9"/>
        <v>0</v>
      </c>
      <c r="AA35" s="97"/>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6"/>
    </row>
    <row r="36" spans="1:57" s="99" customFormat="1" ht="12.75" thickBot="1" x14ac:dyDescent="0.25">
      <c r="A36" s="98"/>
      <c r="B36" s="98"/>
      <c r="C36" s="98"/>
      <c r="D36" s="98"/>
      <c r="E36" s="106"/>
      <c r="F36" s="581" t="s">
        <v>331</v>
      </c>
      <c r="G36" s="201">
        <f>SUMPRODUCT(G7:G33,$AF$7:$AF$33)*G$4/12</f>
        <v>20412.385000000002</v>
      </c>
      <c r="H36" s="201">
        <f t="shared" ref="H36:Z36" si="10">SUMPRODUCT(H7:H33,$AF$7:$AF$33)*H$4/12</f>
        <v>0</v>
      </c>
      <c r="I36" s="201">
        <f t="shared" si="10"/>
        <v>0</v>
      </c>
      <c r="J36" s="201">
        <f t="shared" si="10"/>
        <v>0</v>
      </c>
      <c r="K36" s="201">
        <f t="shared" si="10"/>
        <v>0</v>
      </c>
      <c r="L36" s="201">
        <f t="shared" si="10"/>
        <v>0</v>
      </c>
      <c r="M36" s="201">
        <f t="shared" si="10"/>
        <v>0</v>
      </c>
      <c r="N36" s="201">
        <f t="shared" si="10"/>
        <v>0</v>
      </c>
      <c r="O36" s="201">
        <f t="shared" si="10"/>
        <v>0</v>
      </c>
      <c r="P36" s="201">
        <f t="shared" si="10"/>
        <v>0</v>
      </c>
      <c r="Q36" s="201">
        <f t="shared" si="10"/>
        <v>0</v>
      </c>
      <c r="R36" s="201">
        <f t="shared" si="10"/>
        <v>0</v>
      </c>
      <c r="S36" s="201">
        <f t="shared" si="10"/>
        <v>0</v>
      </c>
      <c r="T36" s="201">
        <f t="shared" si="10"/>
        <v>0</v>
      </c>
      <c r="U36" s="201">
        <f t="shared" si="10"/>
        <v>0</v>
      </c>
      <c r="V36" s="201">
        <f t="shared" si="10"/>
        <v>0</v>
      </c>
      <c r="W36" s="201">
        <f t="shared" si="10"/>
        <v>0</v>
      </c>
      <c r="X36" s="201">
        <f t="shared" si="10"/>
        <v>0</v>
      </c>
      <c r="Y36" s="201">
        <f t="shared" si="10"/>
        <v>0</v>
      </c>
      <c r="Z36" s="201">
        <f t="shared" si="10"/>
        <v>0</v>
      </c>
      <c r="AA36" s="97"/>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6"/>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6"/>
      <c r="B76" s="98"/>
      <c r="C76" s="98"/>
      <c r="D76" s="98"/>
      <c r="E76" s="98"/>
      <c r="F76" s="98"/>
      <c r="G76" s="576"/>
      <c r="H76" s="576"/>
      <c r="I76" s="576"/>
      <c r="J76" s="576"/>
      <c r="K76" s="576"/>
      <c r="L76" s="576"/>
      <c r="M76" s="576"/>
      <c r="N76" s="576"/>
      <c r="O76" s="576"/>
      <c r="P76" s="576"/>
      <c r="Q76" s="576"/>
      <c r="R76" s="576"/>
      <c r="S76" s="576"/>
      <c r="T76" s="576"/>
      <c r="U76" s="576"/>
      <c r="V76" s="576"/>
      <c r="W76" s="576"/>
      <c r="X76" s="576"/>
      <c r="Y76" s="576"/>
      <c r="Z76" s="576"/>
      <c r="AA76" s="98"/>
      <c r="AB76" s="98"/>
      <c r="AC76" s="98"/>
      <c r="AD76" s="98"/>
      <c r="AE76" s="98"/>
      <c r="AF76" s="98"/>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6"/>
      <c r="BD76" s="576"/>
      <c r="BE76" s="577"/>
    </row>
    <row r="77" spans="1:57" x14ac:dyDescent="0.2">
      <c r="A77" s="576"/>
      <c r="B77" s="98"/>
      <c r="C77" s="98"/>
      <c r="D77" s="98"/>
      <c r="E77" s="98"/>
      <c r="F77" s="98"/>
      <c r="G77" s="576"/>
      <c r="H77" s="576"/>
      <c r="I77" s="576"/>
      <c r="J77" s="576"/>
      <c r="K77" s="576"/>
      <c r="L77" s="576"/>
      <c r="M77" s="576"/>
      <c r="N77" s="576"/>
      <c r="O77" s="576"/>
      <c r="P77" s="576"/>
      <c r="Q77" s="576"/>
      <c r="R77" s="576"/>
      <c r="S77" s="576"/>
      <c r="T77" s="576"/>
      <c r="U77" s="576"/>
      <c r="V77" s="576"/>
      <c r="W77" s="576"/>
      <c r="X77" s="576"/>
      <c r="Y77" s="576"/>
      <c r="Z77" s="576"/>
      <c r="AA77" s="98"/>
      <c r="AB77" s="98"/>
      <c r="AC77" s="98"/>
      <c r="AD77" s="98"/>
      <c r="AE77" s="98"/>
      <c r="AF77" s="98"/>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6"/>
      <c r="BD77" s="576"/>
      <c r="BE77" s="577"/>
    </row>
    <row r="78" spans="1:57" x14ac:dyDescent="0.2">
      <c r="A78" s="576"/>
      <c r="B78" s="98"/>
      <c r="C78" s="98"/>
      <c r="D78" s="98"/>
      <c r="E78" s="98"/>
      <c r="F78" s="98"/>
      <c r="G78" s="576"/>
      <c r="H78" s="576"/>
      <c r="I78" s="576"/>
      <c r="J78" s="576"/>
      <c r="K78" s="576"/>
      <c r="L78" s="576"/>
      <c r="M78" s="576"/>
      <c r="N78" s="576"/>
      <c r="O78" s="576"/>
      <c r="P78" s="576"/>
      <c r="Q78" s="576"/>
      <c r="R78" s="576"/>
      <c r="S78" s="576"/>
      <c r="T78" s="576"/>
      <c r="U78" s="576"/>
      <c r="V78" s="576"/>
      <c r="W78" s="576"/>
      <c r="X78" s="576"/>
      <c r="Y78" s="576"/>
      <c r="Z78" s="576"/>
      <c r="AA78" s="98"/>
      <c r="AB78" s="98"/>
      <c r="AC78" s="98"/>
      <c r="AD78" s="98"/>
      <c r="AE78" s="98"/>
      <c r="AF78" s="98"/>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6"/>
      <c r="BD78" s="576"/>
      <c r="BE78" s="577"/>
    </row>
    <row r="79" spans="1:57" x14ac:dyDescent="0.2">
      <c r="A79" s="576"/>
      <c r="B79" s="98"/>
      <c r="C79" s="98"/>
      <c r="D79" s="98"/>
      <c r="E79" s="98"/>
      <c r="F79" s="98"/>
      <c r="G79" s="576"/>
      <c r="H79" s="576"/>
      <c r="I79" s="576"/>
      <c r="J79" s="576"/>
      <c r="K79" s="576"/>
      <c r="L79" s="576"/>
      <c r="M79" s="576"/>
      <c r="N79" s="576"/>
      <c r="O79" s="576"/>
      <c r="P79" s="576"/>
      <c r="Q79" s="576"/>
      <c r="R79" s="576"/>
      <c r="S79" s="576"/>
      <c r="T79" s="576"/>
      <c r="U79" s="576"/>
      <c r="V79" s="576"/>
      <c r="W79" s="576"/>
      <c r="X79" s="576"/>
      <c r="Y79" s="576"/>
      <c r="Z79" s="576"/>
      <c r="AA79" s="98"/>
      <c r="AB79" s="98"/>
      <c r="AC79" s="98"/>
      <c r="AD79" s="98"/>
      <c r="AE79" s="98"/>
      <c r="AF79" s="98"/>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6"/>
      <c r="BD79" s="576"/>
      <c r="BE79" s="577"/>
    </row>
    <row r="80" spans="1:57" x14ac:dyDescent="0.2">
      <c r="A80" s="576"/>
      <c r="B80" s="98"/>
      <c r="C80" s="98"/>
      <c r="D80" s="98"/>
      <c r="E80" s="98"/>
      <c r="F80" s="98"/>
      <c r="G80" s="576"/>
      <c r="H80" s="576"/>
      <c r="I80" s="576"/>
      <c r="J80" s="576"/>
      <c r="K80" s="576"/>
      <c r="L80" s="576"/>
      <c r="M80" s="576"/>
      <c r="N80" s="576"/>
      <c r="O80" s="576"/>
      <c r="P80" s="576"/>
      <c r="Q80" s="576"/>
      <c r="R80" s="576"/>
      <c r="S80" s="576"/>
      <c r="T80" s="576"/>
      <c r="U80" s="576"/>
      <c r="V80" s="576"/>
      <c r="W80" s="576"/>
      <c r="X80" s="576"/>
      <c r="Y80" s="576"/>
      <c r="Z80" s="576"/>
      <c r="AA80" s="98"/>
      <c r="AB80" s="98"/>
      <c r="AC80" s="98"/>
      <c r="AD80" s="98"/>
      <c r="AE80" s="98"/>
      <c r="AF80" s="98"/>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6"/>
      <c r="BD80" s="576"/>
      <c r="BE80" s="577"/>
    </row>
    <row r="81" spans="1:57" x14ac:dyDescent="0.2">
      <c r="A81" s="576"/>
      <c r="B81" s="98"/>
      <c r="C81" s="98"/>
      <c r="D81" s="98"/>
      <c r="E81" s="98"/>
      <c r="F81" s="98"/>
      <c r="G81" s="576"/>
      <c r="H81" s="576"/>
      <c r="I81" s="576"/>
      <c r="J81" s="576"/>
      <c r="K81" s="576"/>
      <c r="L81" s="576"/>
      <c r="M81" s="576"/>
      <c r="N81" s="576"/>
      <c r="O81" s="576"/>
      <c r="P81" s="576"/>
      <c r="Q81" s="576"/>
      <c r="R81" s="576"/>
      <c r="S81" s="576"/>
      <c r="T81" s="576"/>
      <c r="U81" s="576"/>
      <c r="V81" s="576"/>
      <c r="W81" s="576"/>
      <c r="X81" s="576"/>
      <c r="Y81" s="576"/>
      <c r="Z81" s="576"/>
      <c r="AA81" s="98"/>
      <c r="AB81" s="98"/>
      <c r="AC81" s="98"/>
      <c r="AD81" s="98"/>
      <c r="AE81" s="98"/>
      <c r="AF81" s="98"/>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6"/>
      <c r="BD81" s="576"/>
      <c r="BE81" s="577"/>
    </row>
    <row r="82" spans="1:57" x14ac:dyDescent="0.2">
      <c r="A82" s="576"/>
      <c r="B82" s="98"/>
      <c r="C82" s="98"/>
      <c r="D82" s="98"/>
      <c r="E82" s="98"/>
      <c r="F82" s="98"/>
      <c r="G82" s="576"/>
      <c r="H82" s="576"/>
      <c r="I82" s="576"/>
      <c r="J82" s="576"/>
      <c r="K82" s="576"/>
      <c r="L82" s="576"/>
      <c r="M82" s="576"/>
      <c r="N82" s="576"/>
      <c r="O82" s="576"/>
      <c r="P82" s="576"/>
      <c r="Q82" s="576"/>
      <c r="R82" s="576"/>
      <c r="S82" s="576"/>
      <c r="T82" s="576"/>
      <c r="U82" s="576"/>
      <c r="V82" s="576"/>
      <c r="W82" s="576"/>
      <c r="X82" s="576"/>
      <c r="Y82" s="576"/>
      <c r="Z82" s="576"/>
      <c r="AA82" s="98"/>
      <c r="AB82" s="98"/>
      <c r="AC82" s="98"/>
      <c r="AD82" s="98"/>
      <c r="AE82" s="98"/>
      <c r="AF82" s="98"/>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6"/>
      <c r="BD82" s="576"/>
      <c r="BE82" s="577"/>
    </row>
    <row r="83" spans="1:57" x14ac:dyDescent="0.2">
      <c r="A83" s="576"/>
      <c r="B83" s="98"/>
      <c r="C83" s="98"/>
      <c r="D83" s="98"/>
      <c r="E83" s="98"/>
      <c r="F83" s="98"/>
      <c r="G83" s="576"/>
      <c r="H83" s="576"/>
      <c r="I83" s="576"/>
      <c r="J83" s="576"/>
      <c r="K83" s="576"/>
      <c r="L83" s="576"/>
      <c r="M83" s="576"/>
      <c r="N83" s="576"/>
      <c r="O83" s="576"/>
      <c r="P83" s="576"/>
      <c r="Q83" s="576"/>
      <c r="R83" s="576"/>
      <c r="S83" s="576"/>
      <c r="T83" s="576"/>
      <c r="U83" s="576"/>
      <c r="V83" s="576"/>
      <c r="W83" s="576"/>
      <c r="X83" s="576"/>
      <c r="Y83" s="576"/>
      <c r="Z83" s="576"/>
      <c r="AA83" s="98"/>
      <c r="AB83" s="98"/>
      <c r="AC83" s="98"/>
      <c r="AD83" s="98"/>
      <c r="AE83" s="98"/>
      <c r="AF83" s="98"/>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6"/>
      <c r="BD83" s="576"/>
      <c r="BE83" s="577"/>
    </row>
    <row r="84" spans="1:57" x14ac:dyDescent="0.2">
      <c r="A84" s="576"/>
      <c r="B84" s="98"/>
      <c r="C84" s="98"/>
      <c r="D84" s="98"/>
      <c r="E84" s="98"/>
      <c r="F84" s="98"/>
      <c r="G84" s="576"/>
      <c r="H84" s="576"/>
      <c r="I84" s="576"/>
      <c r="J84" s="576"/>
      <c r="K84" s="576"/>
      <c r="L84" s="576"/>
      <c r="M84" s="576"/>
      <c r="N84" s="576"/>
      <c r="O84" s="576"/>
      <c r="P84" s="576"/>
      <c r="Q84" s="576"/>
      <c r="R84" s="576"/>
      <c r="S84" s="576"/>
      <c r="T84" s="576"/>
      <c r="U84" s="576"/>
      <c r="V84" s="576"/>
      <c r="W84" s="576"/>
      <c r="X84" s="576"/>
      <c r="Y84" s="576"/>
      <c r="Z84" s="576"/>
      <c r="AA84" s="98"/>
      <c r="AB84" s="98"/>
      <c r="AC84" s="98"/>
      <c r="AD84" s="98"/>
      <c r="AE84" s="98"/>
      <c r="AF84" s="98"/>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6"/>
      <c r="BD84" s="576"/>
      <c r="BE84" s="577"/>
    </row>
    <row r="85" spans="1:57" x14ac:dyDescent="0.2">
      <c r="A85" s="576"/>
      <c r="B85" s="98"/>
      <c r="C85" s="98"/>
      <c r="D85" s="98"/>
      <c r="E85" s="98"/>
      <c r="F85" s="98"/>
      <c r="G85" s="576"/>
      <c r="H85" s="576"/>
      <c r="I85" s="576"/>
      <c r="J85" s="576"/>
      <c r="K85" s="576"/>
      <c r="L85" s="576"/>
      <c r="M85" s="576"/>
      <c r="N85" s="576"/>
      <c r="O85" s="576"/>
      <c r="P85" s="576"/>
      <c r="Q85" s="576"/>
      <c r="R85" s="576"/>
      <c r="S85" s="576"/>
      <c r="T85" s="576"/>
      <c r="U85" s="576"/>
      <c r="V85" s="576"/>
      <c r="W85" s="576"/>
      <c r="X85" s="576"/>
      <c r="Y85" s="576"/>
      <c r="Z85" s="576"/>
      <c r="AA85" s="98"/>
      <c r="AB85" s="98"/>
      <c r="AC85" s="98"/>
      <c r="AD85" s="98"/>
      <c r="AE85" s="98"/>
      <c r="AF85" s="98"/>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6"/>
      <c r="BD85" s="576"/>
      <c r="BE85" s="577"/>
    </row>
    <row r="86" spans="1:57" x14ac:dyDescent="0.2">
      <c r="A86" s="576"/>
      <c r="B86" s="98"/>
      <c r="C86" s="98"/>
      <c r="D86" s="98"/>
      <c r="E86" s="98"/>
      <c r="F86" s="98"/>
      <c r="G86" s="576"/>
      <c r="H86" s="576"/>
      <c r="I86" s="576"/>
      <c r="J86" s="576"/>
      <c r="K86" s="576"/>
      <c r="L86" s="576"/>
      <c r="M86" s="576"/>
      <c r="N86" s="576"/>
      <c r="O86" s="576"/>
      <c r="P86" s="576"/>
      <c r="Q86" s="576"/>
      <c r="R86" s="576"/>
      <c r="S86" s="576"/>
      <c r="T86" s="576"/>
      <c r="U86" s="576"/>
      <c r="V86" s="576"/>
      <c r="W86" s="576"/>
      <c r="X86" s="576"/>
      <c r="Y86" s="576"/>
      <c r="Z86" s="576"/>
      <c r="AA86" s="98"/>
      <c r="AB86" s="98"/>
      <c r="AC86" s="98"/>
      <c r="AD86" s="98"/>
      <c r="AE86" s="98"/>
      <c r="AF86" s="98"/>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6"/>
      <c r="BD86" s="576"/>
      <c r="BE86" s="577"/>
    </row>
    <row r="87" spans="1:57" x14ac:dyDescent="0.2">
      <c r="A87" s="576"/>
      <c r="B87" s="98"/>
      <c r="C87" s="98"/>
      <c r="D87" s="98"/>
      <c r="E87" s="98"/>
      <c r="F87" s="98"/>
      <c r="G87" s="576"/>
      <c r="H87" s="576"/>
      <c r="I87" s="576"/>
      <c r="J87" s="576"/>
      <c r="K87" s="576"/>
      <c r="L87" s="576"/>
      <c r="M87" s="576"/>
      <c r="N87" s="576"/>
      <c r="O87" s="576"/>
      <c r="P87" s="576"/>
      <c r="Q87" s="576"/>
      <c r="R87" s="576"/>
      <c r="S87" s="576"/>
      <c r="T87" s="576"/>
      <c r="U87" s="576"/>
      <c r="V87" s="576"/>
      <c r="W87" s="576"/>
      <c r="X87" s="576"/>
      <c r="Y87" s="576"/>
      <c r="Z87" s="576"/>
      <c r="AA87" s="98"/>
      <c r="AB87" s="98"/>
      <c r="AC87" s="98"/>
      <c r="AD87" s="98"/>
      <c r="AE87" s="98"/>
      <c r="AF87" s="98"/>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6"/>
      <c r="BD87" s="576"/>
      <c r="BE87" s="577"/>
    </row>
    <row r="88" spans="1:57" x14ac:dyDescent="0.2">
      <c r="A88" s="576"/>
      <c r="B88" s="98"/>
      <c r="C88" s="98"/>
      <c r="D88" s="98"/>
      <c r="E88" s="98"/>
      <c r="F88" s="98"/>
      <c r="G88" s="576"/>
      <c r="H88" s="576"/>
      <c r="I88" s="576"/>
      <c r="J88" s="576"/>
      <c r="K88" s="576"/>
      <c r="L88" s="576"/>
      <c r="M88" s="576"/>
      <c r="N88" s="576"/>
      <c r="O88" s="576"/>
      <c r="P88" s="576"/>
      <c r="Q88" s="576"/>
      <c r="R88" s="576"/>
      <c r="S88" s="576"/>
      <c r="T88" s="576"/>
      <c r="U88" s="576"/>
      <c r="V88" s="576"/>
      <c r="W88" s="576"/>
      <c r="X88" s="576"/>
      <c r="Y88" s="576"/>
      <c r="Z88" s="576"/>
      <c r="AA88" s="98"/>
      <c r="AB88" s="98"/>
      <c r="AC88" s="98"/>
      <c r="AD88" s="98"/>
      <c r="AE88" s="98"/>
      <c r="AF88" s="98"/>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6"/>
      <c r="BD88" s="576"/>
      <c r="BE88" s="577"/>
    </row>
    <row r="89" spans="1:57" x14ac:dyDescent="0.2">
      <c r="A89" s="576"/>
      <c r="B89" s="98"/>
      <c r="C89" s="98"/>
      <c r="D89" s="98"/>
      <c r="E89" s="98"/>
      <c r="F89" s="98"/>
      <c r="G89" s="576"/>
      <c r="H89" s="576"/>
      <c r="I89" s="576"/>
      <c r="J89" s="576"/>
      <c r="K89" s="576"/>
      <c r="L89" s="576"/>
      <c r="M89" s="576"/>
      <c r="N89" s="576"/>
      <c r="O89" s="576"/>
      <c r="P89" s="576"/>
      <c r="Q89" s="576"/>
      <c r="R89" s="576"/>
      <c r="S89" s="576"/>
      <c r="T89" s="576"/>
      <c r="U89" s="576"/>
      <c r="V89" s="576"/>
      <c r="W89" s="576"/>
      <c r="X89" s="576"/>
      <c r="Y89" s="576"/>
      <c r="Z89" s="576"/>
      <c r="AA89" s="98"/>
      <c r="AB89" s="98"/>
      <c r="AC89" s="98"/>
      <c r="AD89" s="98"/>
      <c r="AE89" s="98"/>
      <c r="AF89" s="98"/>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6"/>
      <c r="BD89" s="576"/>
      <c r="BE89" s="577"/>
    </row>
    <row r="90" spans="1:57" x14ac:dyDescent="0.2">
      <c r="A90" s="576"/>
      <c r="B90" s="98"/>
      <c r="C90" s="98"/>
      <c r="D90" s="98"/>
      <c r="E90" s="98"/>
      <c r="F90" s="98"/>
      <c r="G90" s="576"/>
      <c r="H90" s="576"/>
      <c r="I90" s="576"/>
      <c r="J90" s="576"/>
      <c r="K90" s="576"/>
      <c r="L90" s="576"/>
      <c r="M90" s="576"/>
      <c r="N90" s="576"/>
      <c r="O90" s="576"/>
      <c r="P90" s="576"/>
      <c r="Q90" s="576"/>
      <c r="R90" s="576"/>
      <c r="S90" s="576"/>
      <c r="T90" s="576"/>
      <c r="U90" s="576"/>
      <c r="V90" s="576"/>
      <c r="W90" s="576"/>
      <c r="X90" s="576"/>
      <c r="Y90" s="576"/>
      <c r="Z90" s="576"/>
      <c r="AA90" s="98"/>
      <c r="AB90" s="98"/>
      <c r="AC90" s="98"/>
      <c r="AD90" s="98"/>
      <c r="AE90" s="98"/>
      <c r="AF90" s="98"/>
      <c r="AG90" s="576"/>
      <c r="AH90" s="576"/>
      <c r="AI90" s="576"/>
      <c r="AJ90" s="576"/>
      <c r="AK90" s="576"/>
      <c r="AL90" s="576"/>
      <c r="AM90" s="576"/>
      <c r="AN90" s="576"/>
      <c r="AO90" s="576"/>
      <c r="AP90" s="576"/>
      <c r="AQ90" s="576"/>
      <c r="AR90" s="576"/>
      <c r="AS90" s="576"/>
      <c r="AT90" s="576"/>
      <c r="AU90" s="576"/>
      <c r="AV90" s="576"/>
      <c r="AW90" s="576"/>
      <c r="AX90" s="576"/>
      <c r="AY90" s="576"/>
      <c r="AZ90" s="576"/>
      <c r="BA90" s="576"/>
      <c r="BB90" s="576"/>
      <c r="BC90" s="576"/>
      <c r="BD90" s="576"/>
      <c r="BE90" s="577"/>
    </row>
    <row r="91" spans="1:57" x14ac:dyDescent="0.2">
      <c r="A91" s="576"/>
      <c r="B91" s="98"/>
      <c r="C91" s="98"/>
      <c r="D91" s="98"/>
      <c r="E91" s="98"/>
      <c r="F91" s="98"/>
      <c r="G91" s="576"/>
      <c r="H91" s="576"/>
      <c r="I91" s="576"/>
      <c r="J91" s="576"/>
      <c r="K91" s="576"/>
      <c r="L91" s="576"/>
      <c r="M91" s="576"/>
      <c r="N91" s="576"/>
      <c r="O91" s="576"/>
      <c r="P91" s="576"/>
      <c r="Q91" s="576"/>
      <c r="R91" s="576"/>
      <c r="S91" s="576"/>
      <c r="T91" s="576"/>
      <c r="U91" s="576"/>
      <c r="V91" s="576"/>
      <c r="W91" s="576"/>
      <c r="X91" s="576"/>
      <c r="Y91" s="576"/>
      <c r="Z91" s="576"/>
      <c r="AA91" s="98"/>
      <c r="AB91" s="98"/>
      <c r="AC91" s="98"/>
      <c r="AD91" s="98"/>
      <c r="AE91" s="98"/>
      <c r="AF91" s="98"/>
      <c r="AG91" s="576"/>
      <c r="AH91" s="576"/>
      <c r="AI91" s="576"/>
      <c r="AJ91" s="576"/>
      <c r="AK91" s="576"/>
      <c r="AL91" s="576"/>
      <c r="AM91" s="576"/>
      <c r="AN91" s="576"/>
      <c r="AO91" s="576"/>
      <c r="AP91" s="576"/>
      <c r="AQ91" s="576"/>
      <c r="AR91" s="576"/>
      <c r="AS91" s="576"/>
      <c r="AT91" s="576"/>
      <c r="AU91" s="576"/>
      <c r="AV91" s="576"/>
      <c r="AW91" s="576"/>
      <c r="AX91" s="576"/>
      <c r="AY91" s="576"/>
      <c r="AZ91" s="576"/>
      <c r="BA91" s="576"/>
      <c r="BB91" s="576"/>
      <c r="BC91" s="576"/>
      <c r="BD91" s="576"/>
      <c r="BE91" s="577"/>
    </row>
    <row r="92" spans="1:57" x14ac:dyDescent="0.2">
      <c r="A92" s="576"/>
      <c r="B92" s="98"/>
      <c r="C92" s="98"/>
      <c r="D92" s="98"/>
      <c r="E92" s="98"/>
      <c r="F92" s="98"/>
      <c r="G92" s="576"/>
      <c r="H92" s="576"/>
      <c r="I92" s="576"/>
      <c r="J92" s="576"/>
      <c r="K92" s="576"/>
      <c r="L92" s="576"/>
      <c r="M92" s="576"/>
      <c r="N92" s="576"/>
      <c r="O92" s="576"/>
      <c r="P92" s="576"/>
      <c r="Q92" s="576"/>
      <c r="R92" s="576"/>
      <c r="S92" s="576"/>
      <c r="T92" s="576"/>
      <c r="U92" s="576"/>
      <c r="V92" s="576"/>
      <c r="W92" s="576"/>
      <c r="X92" s="576"/>
      <c r="Y92" s="576"/>
      <c r="Z92" s="576"/>
      <c r="AA92" s="98"/>
      <c r="AB92" s="98"/>
      <c r="AC92" s="98"/>
      <c r="AD92" s="98"/>
      <c r="AE92" s="98"/>
      <c r="AF92" s="98"/>
      <c r="AG92" s="576"/>
      <c r="AH92" s="576"/>
      <c r="AI92" s="576"/>
      <c r="AJ92" s="576"/>
      <c r="AK92" s="576"/>
      <c r="AL92" s="576"/>
      <c r="AM92" s="576"/>
      <c r="AN92" s="576"/>
      <c r="AO92" s="576"/>
      <c r="AP92" s="576"/>
      <c r="AQ92" s="576"/>
      <c r="AR92" s="576"/>
      <c r="AS92" s="576"/>
      <c r="AT92" s="576"/>
      <c r="AU92" s="576"/>
      <c r="AV92" s="576"/>
      <c r="AW92" s="576"/>
      <c r="AX92" s="576"/>
      <c r="AY92" s="576"/>
      <c r="AZ92" s="576"/>
      <c r="BA92" s="576"/>
      <c r="BB92" s="576"/>
      <c r="BC92" s="576"/>
      <c r="BD92" s="576"/>
      <c r="BE92" s="577"/>
    </row>
    <row r="93" spans="1:57" x14ac:dyDescent="0.2">
      <c r="A93" s="576"/>
      <c r="B93" s="98"/>
      <c r="C93" s="98"/>
      <c r="D93" s="98"/>
      <c r="E93" s="98"/>
      <c r="F93" s="98"/>
      <c r="G93" s="576"/>
      <c r="H93" s="576"/>
      <c r="I93" s="576"/>
      <c r="J93" s="576"/>
      <c r="K93" s="576"/>
      <c r="L93" s="576"/>
      <c r="M93" s="576"/>
      <c r="N93" s="576"/>
      <c r="O93" s="576"/>
      <c r="P93" s="576"/>
      <c r="Q93" s="576"/>
      <c r="R93" s="576"/>
      <c r="S93" s="576"/>
      <c r="T93" s="576"/>
      <c r="U93" s="576"/>
      <c r="V93" s="576"/>
      <c r="W93" s="576"/>
      <c r="X93" s="576"/>
      <c r="Y93" s="576"/>
      <c r="Z93" s="576"/>
      <c r="AA93" s="98"/>
      <c r="AB93" s="98"/>
      <c r="AC93" s="98"/>
      <c r="AD93" s="98"/>
      <c r="AE93" s="98"/>
      <c r="AF93" s="98"/>
      <c r="AG93" s="576"/>
      <c r="AH93" s="576"/>
      <c r="AI93" s="576"/>
      <c r="AJ93" s="576"/>
      <c r="AK93" s="576"/>
      <c r="AL93" s="576"/>
      <c r="AM93" s="576"/>
      <c r="AN93" s="576"/>
      <c r="AO93" s="576"/>
      <c r="AP93" s="576"/>
      <c r="AQ93" s="576"/>
      <c r="AR93" s="576"/>
      <c r="AS93" s="576"/>
      <c r="AT93" s="576"/>
      <c r="AU93" s="576"/>
      <c r="AV93" s="576"/>
      <c r="AW93" s="576"/>
      <c r="AX93" s="576"/>
      <c r="AY93" s="576"/>
      <c r="AZ93" s="576"/>
      <c r="BA93" s="576"/>
      <c r="BB93" s="576"/>
      <c r="BC93" s="576"/>
      <c r="BD93" s="576"/>
      <c r="BE93" s="577"/>
    </row>
    <row r="94" spans="1:57" x14ac:dyDescent="0.2">
      <c r="A94" s="576"/>
      <c r="B94" s="98"/>
      <c r="C94" s="98"/>
      <c r="D94" s="98"/>
      <c r="E94" s="98"/>
      <c r="F94" s="98"/>
      <c r="G94" s="576"/>
      <c r="H94" s="576"/>
      <c r="I94" s="576"/>
      <c r="J94" s="576"/>
      <c r="K94" s="576"/>
      <c r="L94" s="576"/>
      <c r="M94" s="576"/>
      <c r="N94" s="576"/>
      <c r="O94" s="576"/>
      <c r="P94" s="576"/>
      <c r="Q94" s="576"/>
      <c r="R94" s="576"/>
      <c r="S94" s="576"/>
      <c r="T94" s="576"/>
      <c r="U94" s="576"/>
      <c r="V94" s="576"/>
      <c r="W94" s="576"/>
      <c r="X94" s="576"/>
      <c r="Y94" s="576"/>
      <c r="Z94" s="576"/>
      <c r="AA94" s="98"/>
      <c r="AB94" s="98"/>
      <c r="AC94" s="98"/>
      <c r="AD94" s="98"/>
      <c r="AE94" s="98"/>
      <c r="AF94" s="98"/>
      <c r="AG94" s="576"/>
      <c r="AH94" s="576"/>
      <c r="AI94" s="576"/>
      <c r="AJ94" s="576"/>
      <c r="AK94" s="576"/>
      <c r="AL94" s="576"/>
      <c r="AM94" s="576"/>
      <c r="AN94" s="576"/>
      <c r="AO94" s="576"/>
      <c r="AP94" s="576"/>
      <c r="AQ94" s="576"/>
      <c r="AR94" s="576"/>
      <c r="AS94" s="576"/>
      <c r="AT94" s="576"/>
      <c r="AU94" s="576"/>
      <c r="AV94" s="576"/>
      <c r="AW94" s="576"/>
      <c r="AX94" s="576"/>
      <c r="AY94" s="576"/>
      <c r="AZ94" s="576"/>
      <c r="BA94" s="576"/>
      <c r="BB94" s="576"/>
      <c r="BC94" s="576"/>
      <c r="BD94" s="576"/>
      <c r="BE94" s="577"/>
    </row>
    <row r="95" spans="1:57" x14ac:dyDescent="0.2">
      <c r="A95" s="576"/>
      <c r="B95" s="98"/>
      <c r="C95" s="98"/>
      <c r="D95" s="98"/>
      <c r="E95" s="98"/>
      <c r="F95" s="98"/>
      <c r="G95" s="576"/>
      <c r="H95" s="576"/>
      <c r="I95" s="576"/>
      <c r="J95" s="576"/>
      <c r="K95" s="576"/>
      <c r="L95" s="576"/>
      <c r="M95" s="576"/>
      <c r="N95" s="576"/>
      <c r="O95" s="576"/>
      <c r="P95" s="576"/>
      <c r="Q95" s="576"/>
      <c r="R95" s="576"/>
      <c r="S95" s="576"/>
      <c r="T95" s="576"/>
      <c r="U95" s="576"/>
      <c r="V95" s="576"/>
      <c r="W95" s="576"/>
      <c r="X95" s="576"/>
      <c r="Y95" s="576"/>
      <c r="Z95" s="576"/>
      <c r="AA95" s="98"/>
      <c r="AB95" s="98"/>
      <c r="AC95" s="98"/>
      <c r="AD95" s="98"/>
      <c r="AE95" s="98"/>
      <c r="AF95" s="98"/>
      <c r="AG95" s="576"/>
      <c r="AH95" s="576"/>
      <c r="AI95" s="576"/>
      <c r="AJ95" s="576"/>
      <c r="AK95" s="576"/>
      <c r="AL95" s="576"/>
      <c r="AM95" s="576"/>
      <c r="AN95" s="576"/>
      <c r="AO95" s="576"/>
      <c r="AP95" s="576"/>
      <c r="AQ95" s="576"/>
      <c r="AR95" s="576"/>
      <c r="AS95" s="576"/>
      <c r="AT95" s="576"/>
      <c r="AU95" s="576"/>
      <c r="AV95" s="576"/>
      <c r="AW95" s="576"/>
      <c r="AX95" s="576"/>
      <c r="AY95" s="576"/>
      <c r="AZ95" s="576"/>
      <c r="BA95" s="576"/>
      <c r="BB95" s="576"/>
      <c r="BC95" s="576"/>
      <c r="BD95" s="576"/>
      <c r="BE95" s="577"/>
    </row>
    <row r="96" spans="1:57" x14ac:dyDescent="0.2">
      <c r="A96" s="576"/>
      <c r="B96" s="98"/>
      <c r="C96" s="98"/>
      <c r="D96" s="98"/>
      <c r="E96" s="98"/>
      <c r="F96" s="98"/>
      <c r="G96" s="576"/>
      <c r="H96" s="576"/>
      <c r="I96" s="576"/>
      <c r="J96" s="576"/>
      <c r="K96" s="576"/>
      <c r="L96" s="576"/>
      <c r="M96" s="576"/>
      <c r="N96" s="576"/>
      <c r="O96" s="576"/>
      <c r="P96" s="576"/>
      <c r="Q96" s="576"/>
      <c r="R96" s="576"/>
      <c r="S96" s="576"/>
      <c r="T96" s="576"/>
      <c r="U96" s="576"/>
      <c r="V96" s="576"/>
      <c r="W96" s="576"/>
      <c r="X96" s="576"/>
      <c r="Y96" s="576"/>
      <c r="Z96" s="576"/>
      <c r="AA96" s="98"/>
      <c r="AB96" s="98"/>
      <c r="AC96" s="98"/>
      <c r="AD96" s="98"/>
      <c r="AE96" s="98"/>
      <c r="AF96" s="98"/>
      <c r="AG96" s="576"/>
      <c r="AH96" s="576"/>
      <c r="AI96" s="576"/>
      <c r="AJ96" s="576"/>
      <c r="AK96" s="576"/>
      <c r="AL96" s="576"/>
      <c r="AM96" s="576"/>
      <c r="AN96" s="576"/>
      <c r="AO96" s="576"/>
      <c r="AP96" s="576"/>
      <c r="AQ96" s="576"/>
      <c r="AR96" s="576"/>
      <c r="AS96" s="576"/>
      <c r="AT96" s="576"/>
      <c r="AU96" s="576"/>
      <c r="AV96" s="576"/>
      <c r="AW96" s="576"/>
      <c r="AX96" s="576"/>
      <c r="AY96" s="576"/>
      <c r="AZ96" s="576"/>
      <c r="BA96" s="576"/>
      <c r="BB96" s="576"/>
      <c r="BC96" s="576"/>
      <c r="BD96" s="576"/>
      <c r="BE96" s="577"/>
    </row>
    <row r="97" spans="1:57" x14ac:dyDescent="0.2">
      <c r="A97" s="576"/>
      <c r="B97" s="98"/>
      <c r="C97" s="98"/>
      <c r="D97" s="98"/>
      <c r="E97" s="98"/>
      <c r="F97" s="98"/>
      <c r="G97" s="576"/>
      <c r="H97" s="576"/>
      <c r="I97" s="576"/>
      <c r="J97" s="576"/>
      <c r="K97" s="576"/>
      <c r="L97" s="576"/>
      <c r="M97" s="576"/>
      <c r="N97" s="576"/>
      <c r="O97" s="576"/>
      <c r="P97" s="576"/>
      <c r="Q97" s="576"/>
      <c r="R97" s="576"/>
      <c r="S97" s="576"/>
      <c r="T97" s="576"/>
      <c r="U97" s="576"/>
      <c r="V97" s="576"/>
      <c r="W97" s="576"/>
      <c r="X97" s="576"/>
      <c r="Y97" s="576"/>
      <c r="Z97" s="576"/>
      <c r="AA97" s="98"/>
      <c r="AB97" s="98"/>
      <c r="AC97" s="98"/>
      <c r="AD97" s="98"/>
      <c r="AE97" s="98"/>
      <c r="AF97" s="98"/>
      <c r="AG97" s="576"/>
      <c r="AH97" s="576"/>
      <c r="AI97" s="576"/>
      <c r="AJ97" s="576"/>
      <c r="AK97" s="576"/>
      <c r="AL97" s="576"/>
      <c r="AM97" s="576"/>
      <c r="AN97" s="576"/>
      <c r="AO97" s="576"/>
      <c r="AP97" s="576"/>
      <c r="AQ97" s="576"/>
      <c r="AR97" s="576"/>
      <c r="AS97" s="576"/>
      <c r="AT97" s="576"/>
      <c r="AU97" s="576"/>
      <c r="AV97" s="576"/>
      <c r="AW97" s="576"/>
      <c r="AX97" s="576"/>
      <c r="AY97" s="576"/>
      <c r="AZ97" s="576"/>
      <c r="BA97" s="576"/>
      <c r="BB97" s="576"/>
      <c r="BC97" s="576"/>
      <c r="BD97" s="576"/>
      <c r="BE97" s="577"/>
    </row>
    <row r="98" spans="1:57" x14ac:dyDescent="0.2">
      <c r="A98" s="576"/>
      <c r="B98" s="98"/>
      <c r="C98" s="98"/>
      <c r="D98" s="98"/>
      <c r="E98" s="98"/>
      <c r="F98" s="98"/>
      <c r="G98" s="576"/>
      <c r="H98" s="576"/>
      <c r="I98" s="576"/>
      <c r="J98" s="576"/>
      <c r="K98" s="576"/>
      <c r="L98" s="576"/>
      <c r="M98" s="576"/>
      <c r="N98" s="576"/>
      <c r="O98" s="576"/>
      <c r="P98" s="576"/>
      <c r="Q98" s="576"/>
      <c r="R98" s="576"/>
      <c r="S98" s="576"/>
      <c r="T98" s="576"/>
      <c r="U98" s="576"/>
      <c r="V98" s="576"/>
      <c r="W98" s="576"/>
      <c r="X98" s="576"/>
      <c r="Y98" s="576"/>
      <c r="Z98" s="576"/>
      <c r="AA98" s="98"/>
      <c r="AB98" s="98"/>
      <c r="AC98" s="98"/>
      <c r="AD98" s="98"/>
      <c r="AE98" s="98"/>
      <c r="AF98" s="98"/>
      <c r="AG98" s="576"/>
      <c r="AH98" s="576"/>
      <c r="AI98" s="576"/>
      <c r="AJ98" s="576"/>
      <c r="AK98" s="576"/>
      <c r="AL98" s="576"/>
      <c r="AM98" s="576"/>
      <c r="AN98" s="576"/>
      <c r="AO98" s="576"/>
      <c r="AP98" s="576"/>
      <c r="AQ98" s="576"/>
      <c r="AR98" s="576"/>
      <c r="AS98" s="576"/>
      <c r="AT98" s="576"/>
      <c r="AU98" s="576"/>
      <c r="AV98" s="576"/>
      <c r="AW98" s="576"/>
      <c r="AX98" s="576"/>
      <c r="AY98" s="576"/>
      <c r="AZ98" s="576"/>
      <c r="BA98" s="576"/>
      <c r="BB98" s="576"/>
      <c r="BC98" s="576"/>
      <c r="BD98" s="576"/>
      <c r="BE98" s="577"/>
    </row>
    <row r="99" spans="1:57" x14ac:dyDescent="0.2">
      <c r="A99" s="576"/>
      <c r="B99" s="98"/>
      <c r="C99" s="98"/>
      <c r="D99" s="98"/>
      <c r="E99" s="98"/>
      <c r="F99" s="98"/>
      <c r="G99" s="576"/>
      <c r="H99" s="576"/>
      <c r="I99" s="576"/>
      <c r="J99" s="576"/>
      <c r="K99" s="576"/>
      <c r="L99" s="576"/>
      <c r="M99" s="576"/>
      <c r="N99" s="576"/>
      <c r="O99" s="576"/>
      <c r="P99" s="576"/>
      <c r="Q99" s="576"/>
      <c r="R99" s="576"/>
      <c r="S99" s="576"/>
      <c r="T99" s="576"/>
      <c r="U99" s="576"/>
      <c r="V99" s="576"/>
      <c r="W99" s="576"/>
      <c r="X99" s="576"/>
      <c r="Y99" s="576"/>
      <c r="Z99" s="576"/>
      <c r="AA99" s="98"/>
      <c r="AB99" s="98"/>
      <c r="AC99" s="98"/>
      <c r="AD99" s="98"/>
      <c r="AE99" s="98"/>
      <c r="AF99" s="98"/>
      <c r="AG99" s="576"/>
      <c r="AH99" s="576"/>
      <c r="AI99" s="576"/>
      <c r="AJ99" s="576"/>
      <c r="AK99" s="576"/>
      <c r="AL99" s="576"/>
      <c r="AM99" s="576"/>
      <c r="AN99" s="576"/>
      <c r="AO99" s="576"/>
      <c r="AP99" s="576"/>
      <c r="AQ99" s="576"/>
      <c r="AR99" s="576"/>
      <c r="AS99" s="576"/>
      <c r="AT99" s="576"/>
      <c r="AU99" s="576"/>
      <c r="AV99" s="576"/>
      <c r="AW99" s="576"/>
      <c r="AX99" s="576"/>
      <c r="AY99" s="576"/>
      <c r="AZ99" s="576"/>
      <c r="BA99" s="576"/>
      <c r="BB99" s="576"/>
      <c r="BC99" s="576"/>
      <c r="BD99" s="576"/>
      <c r="BE99" s="577"/>
    </row>
    <row r="100" spans="1:57" x14ac:dyDescent="0.2">
      <c r="A100" s="576"/>
      <c r="B100" s="98"/>
      <c r="C100" s="98"/>
      <c r="D100" s="98"/>
      <c r="E100" s="98"/>
      <c r="F100" s="98"/>
      <c r="G100" s="576"/>
      <c r="H100" s="576"/>
      <c r="I100" s="576"/>
      <c r="J100" s="576"/>
      <c r="K100" s="576"/>
      <c r="L100" s="576"/>
      <c r="M100" s="576"/>
      <c r="N100" s="576"/>
      <c r="O100" s="576"/>
      <c r="P100" s="576"/>
      <c r="Q100" s="576"/>
      <c r="R100" s="576"/>
      <c r="S100" s="576"/>
      <c r="T100" s="576"/>
      <c r="U100" s="576"/>
      <c r="V100" s="576"/>
      <c r="W100" s="576"/>
      <c r="X100" s="576"/>
      <c r="Y100" s="576"/>
      <c r="Z100" s="576"/>
      <c r="AA100" s="98"/>
      <c r="AB100" s="98"/>
      <c r="AC100" s="98"/>
      <c r="AD100" s="98"/>
      <c r="AE100" s="98"/>
      <c r="AF100" s="98"/>
      <c r="AG100" s="576"/>
      <c r="AH100" s="576"/>
      <c r="AI100" s="576"/>
      <c r="AJ100" s="576"/>
      <c r="AK100" s="576"/>
      <c r="AL100" s="576"/>
      <c r="AM100" s="576"/>
      <c r="AN100" s="576"/>
      <c r="AO100" s="576"/>
      <c r="AP100" s="576"/>
      <c r="AQ100" s="576"/>
      <c r="AR100" s="576"/>
      <c r="AS100" s="576"/>
      <c r="AT100" s="576"/>
      <c r="AU100" s="576"/>
      <c r="AV100" s="576"/>
      <c r="AW100" s="576"/>
      <c r="AX100" s="576"/>
      <c r="AY100" s="576"/>
      <c r="AZ100" s="576"/>
      <c r="BA100" s="576"/>
      <c r="BB100" s="576"/>
      <c r="BC100" s="576"/>
      <c r="BD100" s="576"/>
      <c r="BE100" s="577"/>
    </row>
    <row r="101" spans="1:57" x14ac:dyDescent="0.2">
      <c r="A101" s="579"/>
      <c r="B101" s="100"/>
      <c r="C101" s="100"/>
      <c r="D101" s="100"/>
      <c r="E101" s="100"/>
      <c r="F101" s="100"/>
      <c r="G101" s="579"/>
      <c r="H101" s="579"/>
      <c r="I101" s="579"/>
      <c r="J101" s="579"/>
      <c r="K101" s="579"/>
      <c r="L101" s="579"/>
      <c r="M101" s="579"/>
      <c r="N101" s="579"/>
      <c r="O101" s="579"/>
      <c r="P101" s="579"/>
      <c r="Q101" s="579"/>
      <c r="R101" s="579"/>
      <c r="S101" s="579"/>
      <c r="T101" s="579"/>
      <c r="U101" s="579"/>
      <c r="V101" s="579"/>
      <c r="W101" s="579"/>
      <c r="X101" s="579"/>
      <c r="Y101" s="579"/>
      <c r="Z101" s="579"/>
      <c r="AA101" s="100"/>
      <c r="AB101" s="100"/>
      <c r="AC101" s="100"/>
      <c r="AD101" s="100"/>
      <c r="AE101" s="100"/>
      <c r="AF101" s="100"/>
      <c r="AG101" s="579"/>
      <c r="AH101" s="579"/>
      <c r="AI101" s="579"/>
      <c r="AJ101" s="579"/>
      <c r="AK101" s="579"/>
      <c r="AL101" s="579"/>
      <c r="AM101" s="579"/>
      <c r="AN101" s="579"/>
      <c r="AO101" s="579"/>
      <c r="AP101" s="579"/>
      <c r="AQ101" s="579"/>
      <c r="AR101" s="579"/>
      <c r="AS101" s="579"/>
      <c r="AT101" s="579"/>
      <c r="AU101" s="579"/>
      <c r="AV101" s="579"/>
      <c r="AW101" s="579"/>
      <c r="AX101" s="579"/>
      <c r="AY101" s="579"/>
      <c r="AZ101" s="579"/>
      <c r="BA101" s="579"/>
      <c r="BB101" s="579"/>
      <c r="BC101" s="579"/>
      <c r="BD101" s="579"/>
      <c r="BE101" s="580"/>
    </row>
  </sheetData>
  <sheetProtection algorithmName="SHA-512" hashValue="A2033eIm74Y2Gy8zxgRotYW+ZXPn0qxIk76riQ5GZI5qJ8/89zAsE93Ad+Y8MMfZwqMVENwI8wYUKdn6udsTdA==" saltValue="8eMxb3nALlQkXfPOwhmUbA==" spinCount="100000" sheet="1" selectLockedCells="1"/>
  <dataConsolidate link="1"/>
  <mergeCells count="145">
    <mergeCell ref="K7:K13"/>
    <mergeCell ref="L7:L13"/>
    <mergeCell ref="V7:V13"/>
    <mergeCell ref="W7:W13"/>
    <mergeCell ref="X7:X13"/>
    <mergeCell ref="Y7:Y13"/>
    <mergeCell ref="Z7:Z13"/>
    <mergeCell ref="AA7:AA13"/>
    <mergeCell ref="P7:P13"/>
    <mergeCell ref="Q7:Q13"/>
    <mergeCell ref="R7:R13"/>
    <mergeCell ref="S7:S13"/>
    <mergeCell ref="T7:T13"/>
    <mergeCell ref="U7:U13"/>
    <mergeCell ref="O7:O13"/>
    <mergeCell ref="B7:B13"/>
    <mergeCell ref="AF14:AF15"/>
    <mergeCell ref="U14:U15"/>
    <mergeCell ref="V14:V15"/>
    <mergeCell ref="W14:W15"/>
    <mergeCell ref="X14:X15"/>
    <mergeCell ref="Y14:Y15"/>
    <mergeCell ref="Z14:Z15"/>
    <mergeCell ref="O14:O15"/>
    <mergeCell ref="P14:P15"/>
    <mergeCell ref="Q14:Q15"/>
    <mergeCell ref="R14:R15"/>
    <mergeCell ref="S14:S15"/>
    <mergeCell ref="T14:T15"/>
    <mergeCell ref="C7:C13"/>
    <mergeCell ref="F7:F13"/>
    <mergeCell ref="H7:H13"/>
    <mergeCell ref="I7:I13"/>
    <mergeCell ref="AF7:AF13"/>
    <mergeCell ref="B14:B15"/>
    <mergeCell ref="C14:C15"/>
    <mergeCell ref="F14:F15"/>
    <mergeCell ref="H14:H15"/>
    <mergeCell ref="J7:J13"/>
    <mergeCell ref="B16:B22"/>
    <mergeCell ref="C16:C22"/>
    <mergeCell ref="F16:F22"/>
    <mergeCell ref="H16:H22"/>
    <mergeCell ref="I16:I22"/>
    <mergeCell ref="AA14:AA15"/>
    <mergeCell ref="AB14:AB15"/>
    <mergeCell ref="AC14:AC15"/>
    <mergeCell ref="AD14:AD15"/>
    <mergeCell ref="I14:I15"/>
    <mergeCell ref="J14:J15"/>
    <mergeCell ref="K14:K15"/>
    <mergeCell ref="L14:L15"/>
    <mergeCell ref="M14:M15"/>
    <mergeCell ref="N14:N15"/>
    <mergeCell ref="C23:C26"/>
    <mergeCell ref="F23:F26"/>
    <mergeCell ref="H23:H26"/>
    <mergeCell ref="V16:V22"/>
    <mergeCell ref="W16:W22"/>
    <mergeCell ref="X16:X22"/>
    <mergeCell ref="Y16:Y22"/>
    <mergeCell ref="Z16:Z22"/>
    <mergeCell ref="AA16:AA22"/>
    <mergeCell ref="P16:P22"/>
    <mergeCell ref="Q16:Q22"/>
    <mergeCell ref="R16:R22"/>
    <mergeCell ref="S16:S22"/>
    <mergeCell ref="T16:T22"/>
    <mergeCell ref="U16:U22"/>
    <mergeCell ref="J16:J22"/>
    <mergeCell ref="K16:K22"/>
    <mergeCell ref="L16:L22"/>
    <mergeCell ref="M16:M22"/>
    <mergeCell ref="N16:N22"/>
    <mergeCell ref="O16:O22"/>
    <mergeCell ref="AF23:AF26"/>
    <mergeCell ref="U23:U26"/>
    <mergeCell ref="V23:V26"/>
    <mergeCell ref="W23:W26"/>
    <mergeCell ref="X23:X26"/>
    <mergeCell ref="Y23:Y26"/>
    <mergeCell ref="Z23:Z26"/>
    <mergeCell ref="AB16:AB22"/>
    <mergeCell ref="AC16:AC22"/>
    <mergeCell ref="AD16:AD22"/>
    <mergeCell ref="AE16:AE22"/>
    <mergeCell ref="AF16:AF22"/>
    <mergeCell ref="B27:B33"/>
    <mergeCell ref="C27:C33"/>
    <mergeCell ref="F27:F33"/>
    <mergeCell ref="H27:H33"/>
    <mergeCell ref="I27:I33"/>
    <mergeCell ref="AA23:AA26"/>
    <mergeCell ref="AB23:AB26"/>
    <mergeCell ref="AC23:AC26"/>
    <mergeCell ref="O23:O26"/>
    <mergeCell ref="P23:P26"/>
    <mergeCell ref="Q23:Q26"/>
    <mergeCell ref="R23:R26"/>
    <mergeCell ref="S23:S26"/>
    <mergeCell ref="T23:T26"/>
    <mergeCell ref="I23:I26"/>
    <mergeCell ref="J23:J26"/>
    <mergeCell ref="K23:K26"/>
    <mergeCell ref="L23:L26"/>
    <mergeCell ref="M23:M26"/>
    <mergeCell ref="N23:N26"/>
    <mergeCell ref="P27:P33"/>
    <mergeCell ref="Q27:Q33"/>
    <mergeCell ref="R27:R33"/>
    <mergeCell ref="B23:B26"/>
    <mergeCell ref="AF27:AF33"/>
    <mergeCell ref="V27:V33"/>
    <mergeCell ref="W27:W33"/>
    <mergeCell ref="X27:X33"/>
    <mergeCell ref="Y27:Y33"/>
    <mergeCell ref="Z27:Z33"/>
    <mergeCell ref="AA27:AA33"/>
    <mergeCell ref="S27:S33"/>
    <mergeCell ref="T27:T33"/>
    <mergeCell ref="U27:U33"/>
    <mergeCell ref="G27:G33"/>
    <mergeCell ref="G23:G26"/>
    <mergeCell ref="G16:G22"/>
    <mergeCell ref="G14:G15"/>
    <mergeCell ref="G7:G13"/>
    <mergeCell ref="AB27:AB33"/>
    <mergeCell ref="AC27:AC33"/>
    <mergeCell ref="AD27:AD33"/>
    <mergeCell ref="AE27:AE33"/>
    <mergeCell ref="J27:J33"/>
    <mergeCell ref="K27:K33"/>
    <mergeCell ref="L27:L33"/>
    <mergeCell ref="M27:M33"/>
    <mergeCell ref="N27:N33"/>
    <mergeCell ref="O27:O33"/>
    <mergeCell ref="AD23:AD26"/>
    <mergeCell ref="AE23:AE26"/>
    <mergeCell ref="AE14:AE15"/>
    <mergeCell ref="AB7:AB13"/>
    <mergeCell ref="AC7:AC13"/>
    <mergeCell ref="AD7:AD13"/>
    <mergeCell ref="AE7:AE13"/>
    <mergeCell ref="M7:M13"/>
    <mergeCell ref="N7:N13"/>
  </mergeCells>
  <conditionalFormatting sqref="G4:Z4 G7:Z33">
    <cfRule type="notContainsBlanks" dxfId="4"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1900-000000000000}">
      <formula1>1</formula1>
      <formula2>48</formula2>
    </dataValidation>
  </dataValidations>
  <pageMargins left="0.7" right="0.7" top="0.75" bottom="0.75" header="0.3" footer="0.3"/>
  <pageSetup paperSize="8"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2"/>
  <dimension ref="A1:BC86"/>
  <sheetViews>
    <sheetView zoomScaleNormal="100" workbookViewId="0">
      <pane xSplit="4" ySplit="6" topLeftCell="E7" activePane="bottomRight" state="frozen"/>
      <selection activeCell="H31" sqref="H31"/>
      <selection pane="topRight" activeCell="H31" sqref="H31"/>
      <selection pane="bottomLeft" activeCell="H31" sqref="H31"/>
      <selection pane="bottomRight" activeCell="I18" sqref="I18"/>
    </sheetView>
  </sheetViews>
  <sheetFormatPr defaultColWidth="9.140625" defaultRowHeight="11.25" x14ac:dyDescent="0.2"/>
  <cols>
    <col min="1" max="1" width="0.5703125" style="573" customWidth="1"/>
    <col min="2" max="2" width="10.140625" style="99" customWidth="1"/>
    <col min="3" max="3" width="29" style="99" customWidth="1"/>
    <col min="4" max="4" width="14.28515625" style="99" bestFit="1" customWidth="1"/>
    <col min="5" max="24" width="10.42578125" style="573" customWidth="1"/>
    <col min="25" max="25" width="12.42578125" style="99" bestFit="1" customWidth="1"/>
    <col min="26" max="26" width="5.140625" style="99" bestFit="1" customWidth="1"/>
    <col min="27" max="27" width="7.5703125" style="99" bestFit="1" customWidth="1"/>
    <col min="28" max="28" width="12.28515625" style="99" bestFit="1" customWidth="1"/>
    <col min="29" max="29" width="7.5703125" style="99" bestFit="1" customWidth="1"/>
    <col min="30" max="30" width="12.28515625" style="99" bestFit="1" customWidth="1"/>
    <col min="31" max="16384" width="9.140625" style="573"/>
  </cols>
  <sheetData>
    <row r="1" spans="1:55" ht="12" thickBot="1" x14ac:dyDescent="0.25"/>
    <row r="2" spans="1:55" s="99" customFormat="1" ht="12.75" thickBot="1" x14ac:dyDescent="0.25">
      <c r="E2" s="263" t="s">
        <v>308</v>
      </c>
      <c r="F2" s="263" t="s">
        <v>309</v>
      </c>
      <c r="G2" s="263" t="s">
        <v>310</v>
      </c>
      <c r="H2" s="263" t="s">
        <v>311</v>
      </c>
      <c r="I2" s="263" t="s">
        <v>312</v>
      </c>
      <c r="J2" s="263" t="s">
        <v>313</v>
      </c>
      <c r="K2" s="263" t="s">
        <v>314</v>
      </c>
      <c r="L2" s="263" t="s">
        <v>315</v>
      </c>
      <c r="M2" s="263" t="s">
        <v>316</v>
      </c>
      <c r="N2" s="263" t="s">
        <v>317</v>
      </c>
      <c r="O2" s="263" t="s">
        <v>318</v>
      </c>
      <c r="P2" s="263" t="s">
        <v>319</v>
      </c>
      <c r="Q2" s="263" t="s">
        <v>320</v>
      </c>
      <c r="R2" s="263" t="s">
        <v>321</v>
      </c>
      <c r="S2" s="263" t="s">
        <v>322</v>
      </c>
      <c r="T2" s="263" t="s">
        <v>323</v>
      </c>
      <c r="U2" s="263" t="s">
        <v>324</v>
      </c>
      <c r="V2" s="263" t="s">
        <v>325</v>
      </c>
      <c r="W2" s="263" t="s">
        <v>326</v>
      </c>
      <c r="X2" s="263" t="s">
        <v>327</v>
      </c>
    </row>
    <row r="3" spans="1:55" s="99" customFormat="1" ht="24.75" thickBot="1" x14ac:dyDescent="0.25">
      <c r="D3" s="124" t="s">
        <v>1170</v>
      </c>
      <c r="E3" s="487" t="str">
        <f>IF('Elenco immobili'!$C$4="","",'Elenco immobili'!$C$4)</f>
        <v>Sede ICE-AGID</v>
      </c>
      <c r="F3" s="487" t="str">
        <f>IF('Elenco immobili'!$C$5="","",'Elenco immobili'!$C$5)</f>
        <v/>
      </c>
      <c r="G3" s="487" t="str">
        <f>IF('Elenco immobili'!$C$6="","",'Elenco immobili'!$C$6)</f>
        <v/>
      </c>
      <c r="H3" s="487" t="str">
        <f>IF('Elenco immobili'!$C$7="","",'Elenco immobili'!$C$7)</f>
        <v/>
      </c>
      <c r="I3" s="487" t="str">
        <f>IF('Elenco immobili'!$C$8="","",'Elenco immobili'!$C$8)</f>
        <v/>
      </c>
      <c r="J3" s="487" t="str">
        <f>IF('Elenco immobili'!$C$9="","",'Elenco immobili'!$C$9)</f>
        <v/>
      </c>
      <c r="K3" s="487" t="str">
        <f>IF('Elenco immobili'!$C$10="","",'Elenco immobili'!$C$10)</f>
        <v/>
      </c>
      <c r="L3" s="487" t="str">
        <f>IF('Elenco immobili'!$C$11="","",'Elenco immobili'!$C$11)</f>
        <v/>
      </c>
      <c r="M3" s="487" t="str">
        <f>IF('Elenco immobili'!$C$12="","",'Elenco immobili'!$C$12)</f>
        <v/>
      </c>
      <c r="N3" s="487" t="str">
        <f>IF('Elenco immobili'!$C$13="","",'Elenco immobili'!$C$13)</f>
        <v/>
      </c>
      <c r="O3" s="487" t="str">
        <f>IF('Elenco immobili'!$C$14="","",'Elenco immobili'!$C$14)</f>
        <v/>
      </c>
      <c r="P3" s="487" t="str">
        <f>IF('Elenco immobili'!$C$15="","",'Elenco immobili'!$C$15)</f>
        <v/>
      </c>
      <c r="Q3" s="487" t="str">
        <f>IF('Elenco immobili'!$C$16="","",'Elenco immobili'!$C$16)</f>
        <v/>
      </c>
      <c r="R3" s="487" t="str">
        <f>IF('Elenco immobili'!$C$17="","",'Elenco immobili'!$C$17)</f>
        <v/>
      </c>
      <c r="S3" s="487" t="str">
        <f>IF('Elenco immobili'!$C$18="","",'Elenco immobili'!$C$18)</f>
        <v/>
      </c>
      <c r="T3" s="487" t="str">
        <f>IF('Elenco immobili'!$C$19="","",'Elenco immobili'!$C$19)</f>
        <v/>
      </c>
      <c r="U3" s="487" t="str">
        <f>IF('Elenco immobili'!$C$20="","",'Elenco immobili'!$C$20)</f>
        <v/>
      </c>
      <c r="V3" s="487" t="str">
        <f>IF('Elenco immobili'!$C$21="","",'Elenco immobili'!$C$21)</f>
        <v/>
      </c>
      <c r="W3" s="487" t="str">
        <f>IF('Elenco immobili'!$C$22="","",'Elenco immobili'!$C$22)</f>
        <v/>
      </c>
      <c r="X3" s="487" t="str">
        <f>IF('Elenco immobili'!$C$23="","",'Elenco immobili'!$C$23)</f>
        <v/>
      </c>
    </row>
    <row r="4" spans="1:55" ht="13.5" thickBot="1" x14ac:dyDescent="0.25">
      <c r="B4" s="105" t="s">
        <v>1126</v>
      </c>
      <c r="D4" s="125" t="s">
        <v>328</v>
      </c>
      <c r="E4" s="574"/>
      <c r="F4" s="574"/>
      <c r="G4" s="574"/>
      <c r="H4" s="574"/>
      <c r="I4" s="574"/>
      <c r="J4" s="574"/>
      <c r="K4" s="574"/>
      <c r="L4" s="574"/>
      <c r="M4" s="574"/>
      <c r="N4" s="574"/>
      <c r="O4" s="574"/>
      <c r="P4" s="574"/>
      <c r="Q4" s="574"/>
      <c r="R4" s="574"/>
      <c r="S4" s="574"/>
      <c r="T4" s="574"/>
      <c r="U4" s="574"/>
      <c r="V4" s="574"/>
      <c r="W4" s="574"/>
      <c r="X4" s="574"/>
    </row>
    <row r="5" spans="1:55" ht="3" customHeight="1" thickBot="1" x14ac:dyDescent="0.25">
      <c r="E5" s="102"/>
      <c r="F5" s="102"/>
      <c r="G5" s="102"/>
      <c r="H5" s="102"/>
      <c r="I5" s="102"/>
      <c r="J5" s="102"/>
      <c r="K5" s="102"/>
      <c r="L5" s="102"/>
      <c r="M5" s="102"/>
      <c r="N5" s="102"/>
      <c r="O5" s="102"/>
      <c r="P5" s="102"/>
      <c r="Q5" s="102"/>
      <c r="R5" s="102"/>
      <c r="S5" s="102"/>
      <c r="T5" s="102"/>
      <c r="U5" s="102"/>
      <c r="V5" s="102"/>
      <c r="W5" s="102"/>
      <c r="X5" s="102"/>
    </row>
    <row r="6" spans="1:55" s="99" customFormat="1" ht="57" thickBot="1" x14ac:dyDescent="0.25">
      <c r="A6" s="101"/>
      <c r="B6" s="123" t="s">
        <v>771</v>
      </c>
      <c r="C6" s="123" t="s">
        <v>253</v>
      </c>
      <c r="D6" s="123" t="s">
        <v>1174</v>
      </c>
      <c r="E6" s="588" t="s">
        <v>1164</v>
      </c>
      <c r="F6" s="588" t="s">
        <v>1164</v>
      </c>
      <c r="G6" s="588" t="s">
        <v>1164</v>
      </c>
      <c r="H6" s="588" t="s">
        <v>1164</v>
      </c>
      <c r="I6" s="588" t="s">
        <v>1164</v>
      </c>
      <c r="J6" s="588" t="s">
        <v>1164</v>
      </c>
      <c r="K6" s="588" t="s">
        <v>1164</v>
      </c>
      <c r="L6" s="588" t="s">
        <v>1164</v>
      </c>
      <c r="M6" s="588" t="s">
        <v>1164</v>
      </c>
      <c r="N6" s="588" t="s">
        <v>1164</v>
      </c>
      <c r="O6" s="588" t="s">
        <v>1164</v>
      </c>
      <c r="P6" s="588" t="s">
        <v>1164</v>
      </c>
      <c r="Q6" s="588" t="s">
        <v>1164</v>
      </c>
      <c r="R6" s="588" t="s">
        <v>1164</v>
      </c>
      <c r="S6" s="588" t="s">
        <v>1164</v>
      </c>
      <c r="T6" s="588" t="s">
        <v>1164</v>
      </c>
      <c r="U6" s="588" t="s">
        <v>1164</v>
      </c>
      <c r="V6" s="588" t="s">
        <v>1164</v>
      </c>
      <c r="W6" s="588" t="s">
        <v>1164</v>
      </c>
      <c r="X6" s="588" t="s">
        <v>1164</v>
      </c>
      <c r="Y6" s="127" t="s">
        <v>1187</v>
      </c>
      <c r="Z6" s="128" t="s">
        <v>51</v>
      </c>
      <c r="AA6" s="128" t="s">
        <v>143</v>
      </c>
      <c r="AB6" s="128" t="s">
        <v>1188</v>
      </c>
      <c r="AC6" s="128" t="s">
        <v>160</v>
      </c>
      <c r="AD6" s="128" t="s">
        <v>1189</v>
      </c>
      <c r="AE6" s="98"/>
      <c r="AF6" s="98"/>
      <c r="AG6" s="98"/>
      <c r="AH6" s="98"/>
      <c r="AI6" s="98"/>
      <c r="AJ6" s="98"/>
      <c r="AK6" s="98"/>
      <c r="AL6" s="98"/>
      <c r="AM6" s="98"/>
      <c r="AN6" s="98"/>
      <c r="AO6" s="98"/>
      <c r="AP6" s="98"/>
      <c r="AQ6" s="98"/>
      <c r="AR6" s="98"/>
      <c r="AS6" s="98"/>
      <c r="AT6" s="98"/>
      <c r="AU6" s="98"/>
      <c r="AV6" s="98"/>
      <c r="AW6" s="98"/>
      <c r="AX6" s="98"/>
      <c r="AY6" s="98"/>
      <c r="AZ6" s="98"/>
      <c r="BA6" s="98"/>
      <c r="BB6" s="98"/>
      <c r="BC6" s="96"/>
    </row>
    <row r="7" spans="1:55" ht="23.25" thickBot="1" x14ac:dyDescent="0.25">
      <c r="A7" s="575"/>
      <c r="B7" s="978" t="s">
        <v>1127</v>
      </c>
      <c r="C7" s="542" t="s">
        <v>1281</v>
      </c>
      <c r="D7" s="303" t="s">
        <v>773</v>
      </c>
      <c r="E7" s="454"/>
      <c r="F7" s="454"/>
      <c r="G7" s="454"/>
      <c r="H7" s="454"/>
      <c r="I7" s="454"/>
      <c r="J7" s="454"/>
      <c r="K7" s="454"/>
      <c r="L7" s="454"/>
      <c r="M7" s="454"/>
      <c r="N7" s="454"/>
      <c r="O7" s="454"/>
      <c r="P7" s="454"/>
      <c r="Q7" s="454"/>
      <c r="R7" s="454"/>
      <c r="S7" s="454"/>
      <c r="T7" s="454"/>
      <c r="U7" s="454"/>
      <c r="V7" s="454"/>
      <c r="W7" s="454"/>
      <c r="X7" s="454"/>
      <c r="Y7" s="770">
        <v>20</v>
      </c>
      <c r="Z7" s="1015" t="s">
        <v>7</v>
      </c>
      <c r="AA7" s="773">
        <f>'Ribassi PE'!$K$36</f>
        <v>0.37</v>
      </c>
      <c r="AB7" s="132">
        <f t="shared" ref="AB7:AB18" si="0">ROUND(Y7*(1-AA7),3)</f>
        <v>12.6</v>
      </c>
      <c r="AC7" s="133">
        <f>'Ribassi PE'!$M$36</f>
        <v>0.2</v>
      </c>
      <c r="AD7" s="132">
        <f t="shared" ref="AD7:AD18" si="1">ROUND(Y7*(1-AC7),3)</f>
        <v>16</v>
      </c>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7"/>
    </row>
    <row r="8" spans="1:55" ht="23.25" thickBot="1" x14ac:dyDescent="0.25">
      <c r="A8" s="575"/>
      <c r="B8" s="979"/>
      <c r="C8" s="757" t="s">
        <v>1282</v>
      </c>
      <c r="D8" s="763" t="s">
        <v>773</v>
      </c>
      <c r="E8" s="461"/>
      <c r="F8" s="461"/>
      <c r="G8" s="461"/>
      <c r="H8" s="461"/>
      <c r="I8" s="461"/>
      <c r="J8" s="461"/>
      <c r="K8" s="461"/>
      <c r="L8" s="461"/>
      <c r="M8" s="461"/>
      <c r="N8" s="461"/>
      <c r="O8" s="461"/>
      <c r="P8" s="461"/>
      <c r="Q8" s="461"/>
      <c r="R8" s="461"/>
      <c r="S8" s="461"/>
      <c r="T8" s="461"/>
      <c r="U8" s="461"/>
      <c r="V8" s="461"/>
      <c r="W8" s="461"/>
      <c r="X8" s="461"/>
      <c r="Y8" s="771">
        <f>Y7*1.3</f>
        <v>26</v>
      </c>
      <c r="Z8" s="1016"/>
      <c r="AA8" s="774">
        <f>'Ribassi PE'!$K$36</f>
        <v>0.37</v>
      </c>
      <c r="AB8" s="136">
        <f t="shared" ref="AB8:AB10" si="2">ROUND(Y8*(1-AA8),3)</f>
        <v>16.38</v>
      </c>
      <c r="AC8" s="135">
        <f>'Ribassi PE'!$M$36</f>
        <v>0.2</v>
      </c>
      <c r="AD8" s="136">
        <f t="shared" ref="AD8:AD10" si="3">ROUND(Y8*(1-AC8),3)</f>
        <v>20.8</v>
      </c>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7"/>
    </row>
    <row r="9" spans="1:55" ht="23.25" thickBot="1" x14ac:dyDescent="0.25">
      <c r="A9" s="575"/>
      <c r="B9" s="979"/>
      <c r="C9" s="757" t="s">
        <v>1283</v>
      </c>
      <c r="D9" s="763" t="s">
        <v>773</v>
      </c>
      <c r="E9" s="461"/>
      <c r="F9" s="461"/>
      <c r="G9" s="461"/>
      <c r="H9" s="461"/>
      <c r="I9" s="461"/>
      <c r="J9" s="461"/>
      <c r="K9" s="461"/>
      <c r="L9" s="461"/>
      <c r="M9" s="461"/>
      <c r="N9" s="461"/>
      <c r="O9" s="461"/>
      <c r="P9" s="461"/>
      <c r="Q9" s="461"/>
      <c r="R9" s="461"/>
      <c r="S9" s="461"/>
      <c r="T9" s="461"/>
      <c r="U9" s="461"/>
      <c r="V9" s="461"/>
      <c r="W9" s="461"/>
      <c r="X9" s="461"/>
      <c r="Y9" s="771">
        <f>Y7*1.65</f>
        <v>33</v>
      </c>
      <c r="Z9" s="1016"/>
      <c r="AA9" s="774">
        <f>'Ribassi PE'!$K$36</f>
        <v>0.37</v>
      </c>
      <c r="AB9" s="136">
        <f t="shared" si="2"/>
        <v>20.79</v>
      </c>
      <c r="AC9" s="135">
        <f>'Ribassi PE'!$M$36</f>
        <v>0.2</v>
      </c>
      <c r="AD9" s="136">
        <f t="shared" si="3"/>
        <v>26.4</v>
      </c>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7"/>
    </row>
    <row r="10" spans="1:55" ht="23.25" thickBot="1" x14ac:dyDescent="0.25">
      <c r="A10" s="575"/>
      <c r="B10" s="1090"/>
      <c r="C10" s="768" t="s">
        <v>1284</v>
      </c>
      <c r="D10" s="769" t="s">
        <v>773</v>
      </c>
      <c r="E10" s="760"/>
      <c r="F10" s="760"/>
      <c r="G10" s="760"/>
      <c r="H10" s="760"/>
      <c r="I10" s="760"/>
      <c r="J10" s="760"/>
      <c r="K10" s="760"/>
      <c r="L10" s="760"/>
      <c r="M10" s="760"/>
      <c r="N10" s="760"/>
      <c r="O10" s="760"/>
      <c r="P10" s="760"/>
      <c r="Q10" s="760"/>
      <c r="R10" s="760"/>
      <c r="S10" s="760"/>
      <c r="T10" s="760"/>
      <c r="U10" s="760"/>
      <c r="V10" s="760"/>
      <c r="W10" s="760"/>
      <c r="X10" s="760"/>
      <c r="Y10" s="772">
        <f>Y7*1.75</f>
        <v>35</v>
      </c>
      <c r="Z10" s="1016"/>
      <c r="AA10" s="775">
        <f>'Ribassi PE'!$K$36</f>
        <v>0.37</v>
      </c>
      <c r="AB10" s="139">
        <f t="shared" si="2"/>
        <v>22.05</v>
      </c>
      <c r="AC10" s="138">
        <f>'Ribassi PE'!$M$36</f>
        <v>0.2</v>
      </c>
      <c r="AD10" s="139">
        <f t="shared" si="3"/>
        <v>28</v>
      </c>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7"/>
    </row>
    <row r="11" spans="1:55" ht="23.25" thickBot="1" x14ac:dyDescent="0.25">
      <c r="A11" s="575"/>
      <c r="B11" s="979" t="s">
        <v>1128</v>
      </c>
      <c r="C11" s="757" t="s">
        <v>1285</v>
      </c>
      <c r="D11" s="763" t="s">
        <v>773</v>
      </c>
      <c r="E11" s="461"/>
      <c r="F11" s="461"/>
      <c r="G11" s="461"/>
      <c r="H11" s="461"/>
      <c r="I11" s="461"/>
      <c r="J11" s="461"/>
      <c r="K11" s="461"/>
      <c r="L11" s="461"/>
      <c r="M11" s="461"/>
      <c r="N11" s="461"/>
      <c r="O11" s="461"/>
      <c r="P11" s="461"/>
      <c r="Q11" s="461"/>
      <c r="R11" s="461"/>
      <c r="S11" s="461"/>
      <c r="T11" s="461"/>
      <c r="U11" s="461"/>
      <c r="V11" s="461"/>
      <c r="W11" s="461"/>
      <c r="X11" s="461"/>
      <c r="Y11" s="265">
        <v>21</v>
      </c>
      <c r="Z11" s="1016"/>
      <c r="AA11" s="266">
        <f>'Ribassi PE'!$K$36</f>
        <v>0.37</v>
      </c>
      <c r="AB11" s="267">
        <f t="shared" si="0"/>
        <v>13.23</v>
      </c>
      <c r="AC11" s="266">
        <f>'Ribassi PE'!$M$36</f>
        <v>0.2</v>
      </c>
      <c r="AD11" s="267">
        <f t="shared" si="1"/>
        <v>16.8</v>
      </c>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7"/>
    </row>
    <row r="12" spans="1:55" ht="23.25" thickBot="1" x14ac:dyDescent="0.25">
      <c r="A12" s="575"/>
      <c r="B12" s="979"/>
      <c r="C12" s="755" t="s">
        <v>1286</v>
      </c>
      <c r="D12" s="765" t="s">
        <v>773</v>
      </c>
      <c r="E12" s="460"/>
      <c r="F12" s="460"/>
      <c r="G12" s="460"/>
      <c r="H12" s="460"/>
      <c r="I12" s="460"/>
      <c r="J12" s="460"/>
      <c r="K12" s="460"/>
      <c r="L12" s="460"/>
      <c r="M12" s="460"/>
      <c r="N12" s="460"/>
      <c r="O12" s="460"/>
      <c r="P12" s="460"/>
      <c r="Q12" s="460"/>
      <c r="R12" s="460"/>
      <c r="S12" s="460"/>
      <c r="T12" s="460"/>
      <c r="U12" s="460"/>
      <c r="V12" s="460"/>
      <c r="W12" s="460"/>
      <c r="X12" s="460"/>
      <c r="Y12" s="247">
        <f>Y11*1.3</f>
        <v>27.3</v>
      </c>
      <c r="Z12" s="1016"/>
      <c r="AA12" s="135">
        <f>'Ribassi PE'!$K$36</f>
        <v>0.37</v>
      </c>
      <c r="AB12" s="136">
        <f t="shared" ref="AB12:AB17" si="4">ROUND(Y12*(1-AA12),3)</f>
        <v>17.199000000000002</v>
      </c>
      <c r="AC12" s="135">
        <f>'Ribassi PE'!$M$36</f>
        <v>0.2</v>
      </c>
      <c r="AD12" s="136">
        <f t="shared" ref="AD12:AD17" si="5">ROUND(Y12*(1-AC12),3)</f>
        <v>21.84</v>
      </c>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7"/>
    </row>
    <row r="13" spans="1:55" ht="23.25" thickBot="1" x14ac:dyDescent="0.25">
      <c r="A13" s="575"/>
      <c r="B13" s="979"/>
      <c r="C13" s="755" t="s">
        <v>1287</v>
      </c>
      <c r="D13" s="765" t="s">
        <v>773</v>
      </c>
      <c r="E13" s="460"/>
      <c r="F13" s="460"/>
      <c r="G13" s="460"/>
      <c r="H13" s="460"/>
      <c r="I13" s="460"/>
      <c r="J13" s="460"/>
      <c r="K13" s="460"/>
      <c r="L13" s="460"/>
      <c r="M13" s="460"/>
      <c r="N13" s="460"/>
      <c r="O13" s="460"/>
      <c r="P13" s="460"/>
      <c r="Q13" s="460"/>
      <c r="R13" s="460"/>
      <c r="S13" s="460"/>
      <c r="T13" s="460"/>
      <c r="U13" s="460"/>
      <c r="V13" s="460"/>
      <c r="W13" s="460"/>
      <c r="X13" s="460"/>
      <c r="Y13" s="247">
        <f>Y11*1.65</f>
        <v>34.65</v>
      </c>
      <c r="Z13" s="1016"/>
      <c r="AA13" s="135">
        <f>'Ribassi PE'!$K$36</f>
        <v>0.37</v>
      </c>
      <c r="AB13" s="136">
        <f t="shared" si="4"/>
        <v>21.83</v>
      </c>
      <c r="AC13" s="135">
        <f>'Ribassi PE'!$M$36</f>
        <v>0.2</v>
      </c>
      <c r="AD13" s="136">
        <f t="shared" si="5"/>
        <v>27.72</v>
      </c>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7"/>
    </row>
    <row r="14" spans="1:55" ht="23.25" thickBot="1" x14ac:dyDescent="0.25">
      <c r="A14" s="575"/>
      <c r="B14" s="979"/>
      <c r="C14" s="755" t="s">
        <v>1288</v>
      </c>
      <c r="D14" s="765" t="s">
        <v>773</v>
      </c>
      <c r="E14" s="460"/>
      <c r="F14" s="460"/>
      <c r="G14" s="460"/>
      <c r="H14" s="460"/>
      <c r="I14" s="460"/>
      <c r="J14" s="460"/>
      <c r="K14" s="460"/>
      <c r="L14" s="460"/>
      <c r="M14" s="460"/>
      <c r="N14" s="460"/>
      <c r="O14" s="460"/>
      <c r="P14" s="460"/>
      <c r="Q14" s="460"/>
      <c r="R14" s="460"/>
      <c r="S14" s="460"/>
      <c r="T14" s="460"/>
      <c r="U14" s="460"/>
      <c r="V14" s="460"/>
      <c r="W14" s="460"/>
      <c r="X14" s="460"/>
      <c r="Y14" s="247">
        <f>Y11*1.75</f>
        <v>36.75</v>
      </c>
      <c r="Z14" s="1016"/>
      <c r="AA14" s="135">
        <f>'Ribassi PE'!$K$36</f>
        <v>0.37</v>
      </c>
      <c r="AB14" s="136">
        <f t="shared" si="4"/>
        <v>23.152999999999999</v>
      </c>
      <c r="AC14" s="135">
        <f>'Ribassi PE'!$M$36</f>
        <v>0.2</v>
      </c>
      <c r="AD14" s="136">
        <f t="shared" si="5"/>
        <v>29.4</v>
      </c>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7"/>
    </row>
    <row r="15" spans="1:55" ht="23.25" thickBot="1" x14ac:dyDescent="0.25">
      <c r="A15" s="575"/>
      <c r="B15" s="978" t="s">
        <v>1129</v>
      </c>
      <c r="C15" s="758" t="s">
        <v>1289</v>
      </c>
      <c r="D15" s="779" t="s">
        <v>773</v>
      </c>
      <c r="E15" s="759"/>
      <c r="F15" s="759"/>
      <c r="G15" s="759"/>
      <c r="H15" s="759"/>
      <c r="I15" s="759"/>
      <c r="J15" s="759"/>
      <c r="K15" s="759"/>
      <c r="L15" s="759"/>
      <c r="M15" s="759"/>
      <c r="N15" s="759"/>
      <c r="O15" s="759"/>
      <c r="P15" s="759"/>
      <c r="Q15" s="759"/>
      <c r="R15" s="759"/>
      <c r="S15" s="759"/>
      <c r="T15" s="759"/>
      <c r="U15" s="759"/>
      <c r="V15" s="759"/>
      <c r="W15" s="759"/>
      <c r="X15" s="759"/>
      <c r="Y15" s="761">
        <v>23.2</v>
      </c>
      <c r="Z15" s="1016"/>
      <c r="AA15" s="778">
        <f>'Ribassi PE'!$K$36</f>
        <v>0.37</v>
      </c>
      <c r="AB15" s="250">
        <f t="shared" si="4"/>
        <v>14.616</v>
      </c>
      <c r="AC15" s="249">
        <f>'Ribassi PE'!$M$36</f>
        <v>0.2</v>
      </c>
      <c r="AD15" s="250">
        <f t="shared" si="5"/>
        <v>18.559999999999999</v>
      </c>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7"/>
    </row>
    <row r="16" spans="1:55" ht="23.25" thickBot="1" x14ac:dyDescent="0.25">
      <c r="A16" s="575"/>
      <c r="B16" s="979"/>
      <c r="C16" s="755" t="s">
        <v>1290</v>
      </c>
      <c r="D16" s="765" t="s">
        <v>773</v>
      </c>
      <c r="E16" s="460"/>
      <c r="F16" s="460"/>
      <c r="G16" s="460"/>
      <c r="H16" s="460"/>
      <c r="I16" s="460"/>
      <c r="J16" s="460"/>
      <c r="K16" s="460"/>
      <c r="L16" s="460"/>
      <c r="M16" s="460"/>
      <c r="N16" s="460"/>
      <c r="O16" s="460"/>
      <c r="P16" s="460"/>
      <c r="Q16" s="460"/>
      <c r="R16" s="460"/>
      <c r="S16" s="460"/>
      <c r="T16" s="460"/>
      <c r="U16" s="460"/>
      <c r="V16" s="460"/>
      <c r="W16" s="460"/>
      <c r="X16" s="460"/>
      <c r="Y16" s="776">
        <f>Y15*1.3</f>
        <v>30.16</v>
      </c>
      <c r="Z16" s="1016"/>
      <c r="AA16" s="774">
        <f>'Ribassi PE'!$K$36</f>
        <v>0.37</v>
      </c>
      <c r="AB16" s="136">
        <f t="shared" si="4"/>
        <v>19.001000000000001</v>
      </c>
      <c r="AC16" s="135">
        <f>'Ribassi PE'!$M$36</f>
        <v>0.2</v>
      </c>
      <c r="AD16" s="136">
        <f t="shared" si="5"/>
        <v>24.128</v>
      </c>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7"/>
    </row>
    <row r="17" spans="1:55" ht="23.25" thickBot="1" x14ac:dyDescent="0.25">
      <c r="A17" s="575"/>
      <c r="B17" s="979"/>
      <c r="C17" s="755" t="s">
        <v>1291</v>
      </c>
      <c r="D17" s="765" t="s">
        <v>773</v>
      </c>
      <c r="E17" s="460"/>
      <c r="F17" s="460"/>
      <c r="G17" s="460"/>
      <c r="H17" s="460"/>
      <c r="I17" s="460"/>
      <c r="J17" s="460"/>
      <c r="K17" s="460"/>
      <c r="L17" s="460"/>
      <c r="M17" s="460"/>
      <c r="N17" s="460"/>
      <c r="O17" s="460"/>
      <c r="P17" s="460"/>
      <c r="Q17" s="460"/>
      <c r="R17" s="460"/>
      <c r="S17" s="460"/>
      <c r="T17" s="460"/>
      <c r="U17" s="460"/>
      <c r="V17" s="460"/>
      <c r="W17" s="460"/>
      <c r="X17" s="460"/>
      <c r="Y17" s="776">
        <f>Y15*1.65</f>
        <v>38.279999999999994</v>
      </c>
      <c r="Z17" s="1016"/>
      <c r="AA17" s="774">
        <f>'Ribassi PE'!$K$36</f>
        <v>0.37</v>
      </c>
      <c r="AB17" s="136">
        <f t="shared" si="4"/>
        <v>24.116</v>
      </c>
      <c r="AC17" s="135">
        <f>'Ribassi PE'!$M$36</f>
        <v>0.2</v>
      </c>
      <c r="AD17" s="136">
        <f t="shared" si="5"/>
        <v>30.623999999999999</v>
      </c>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7"/>
    </row>
    <row r="18" spans="1:55" ht="23.25" thickBot="1" x14ac:dyDescent="0.25">
      <c r="A18" s="578"/>
      <c r="B18" s="1090"/>
      <c r="C18" s="544" t="s">
        <v>1292</v>
      </c>
      <c r="D18" s="301" t="s">
        <v>773</v>
      </c>
      <c r="E18" s="456"/>
      <c r="F18" s="456"/>
      <c r="G18" s="456"/>
      <c r="H18" s="456"/>
      <c r="I18" s="456"/>
      <c r="J18" s="456"/>
      <c r="K18" s="456"/>
      <c r="L18" s="456"/>
      <c r="M18" s="456"/>
      <c r="N18" s="456"/>
      <c r="O18" s="456"/>
      <c r="P18" s="456"/>
      <c r="Q18" s="456"/>
      <c r="R18" s="456"/>
      <c r="S18" s="456"/>
      <c r="T18" s="456"/>
      <c r="U18" s="456"/>
      <c r="V18" s="456"/>
      <c r="W18" s="456"/>
      <c r="X18" s="456"/>
      <c r="Y18" s="777">
        <f>Y15*1.75</f>
        <v>40.6</v>
      </c>
      <c r="Z18" s="1017"/>
      <c r="AA18" s="775">
        <f>'Ribassi PE'!$K$36</f>
        <v>0.37</v>
      </c>
      <c r="AB18" s="139">
        <f t="shared" si="0"/>
        <v>25.577999999999999</v>
      </c>
      <c r="AC18" s="138">
        <f>'Ribassi PE'!$M$36</f>
        <v>0.2</v>
      </c>
      <c r="AD18" s="139">
        <f t="shared" si="1"/>
        <v>32.479999999999997</v>
      </c>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7"/>
    </row>
    <row r="19" spans="1:55" s="99" customFormat="1" ht="12.75" thickBot="1" x14ac:dyDescent="0.25">
      <c r="A19" s="98"/>
      <c r="B19" s="98"/>
      <c r="C19" s="98"/>
      <c r="D19" s="125" t="s">
        <v>329</v>
      </c>
      <c r="E19" s="126">
        <f t="shared" ref="E19:X19" si="6">SUMPRODUCT(E7:E18,$Y$7:$Y$18)*E$4</f>
        <v>0</v>
      </c>
      <c r="F19" s="126">
        <f t="shared" si="6"/>
        <v>0</v>
      </c>
      <c r="G19" s="126">
        <f t="shared" si="6"/>
        <v>0</v>
      </c>
      <c r="H19" s="126">
        <f t="shared" si="6"/>
        <v>0</v>
      </c>
      <c r="I19" s="126">
        <f t="shared" si="6"/>
        <v>0</v>
      </c>
      <c r="J19" s="126">
        <f t="shared" si="6"/>
        <v>0</v>
      </c>
      <c r="K19" s="126">
        <f t="shared" si="6"/>
        <v>0</v>
      </c>
      <c r="L19" s="126">
        <f t="shared" si="6"/>
        <v>0</v>
      </c>
      <c r="M19" s="126">
        <f t="shared" si="6"/>
        <v>0</v>
      </c>
      <c r="N19" s="126">
        <f t="shared" si="6"/>
        <v>0</v>
      </c>
      <c r="O19" s="126">
        <f t="shared" si="6"/>
        <v>0</v>
      </c>
      <c r="P19" s="126">
        <f t="shared" si="6"/>
        <v>0</v>
      </c>
      <c r="Q19" s="126">
        <f t="shared" si="6"/>
        <v>0</v>
      </c>
      <c r="R19" s="126">
        <f t="shared" si="6"/>
        <v>0</v>
      </c>
      <c r="S19" s="126">
        <f t="shared" si="6"/>
        <v>0</v>
      </c>
      <c r="T19" s="126">
        <f t="shared" si="6"/>
        <v>0</v>
      </c>
      <c r="U19" s="126">
        <f t="shared" si="6"/>
        <v>0</v>
      </c>
      <c r="V19" s="126">
        <f t="shared" si="6"/>
        <v>0</v>
      </c>
      <c r="W19" s="126">
        <f t="shared" si="6"/>
        <v>0</v>
      </c>
      <c r="X19" s="126">
        <f t="shared" si="6"/>
        <v>0</v>
      </c>
      <c r="Y19" s="97"/>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6"/>
    </row>
    <row r="20" spans="1:55" s="99" customFormat="1" ht="12.75" thickBot="1" x14ac:dyDescent="0.25">
      <c r="A20" s="98"/>
      <c r="B20" s="98"/>
      <c r="C20" s="98"/>
      <c r="D20" s="581" t="s">
        <v>330</v>
      </c>
      <c r="E20" s="201">
        <f t="shared" ref="E20:X20" si="7">SUMPRODUCT(E7:E18,$AB$7:$AB$18)*E$4</f>
        <v>0</v>
      </c>
      <c r="F20" s="201">
        <f t="shared" si="7"/>
        <v>0</v>
      </c>
      <c r="G20" s="201">
        <f t="shared" si="7"/>
        <v>0</v>
      </c>
      <c r="H20" s="201">
        <f t="shared" si="7"/>
        <v>0</v>
      </c>
      <c r="I20" s="201">
        <f t="shared" si="7"/>
        <v>0</v>
      </c>
      <c r="J20" s="201">
        <f t="shared" si="7"/>
        <v>0</v>
      </c>
      <c r="K20" s="201">
        <f t="shared" si="7"/>
        <v>0</v>
      </c>
      <c r="L20" s="201">
        <f t="shared" si="7"/>
        <v>0</v>
      </c>
      <c r="M20" s="201">
        <f t="shared" si="7"/>
        <v>0</v>
      </c>
      <c r="N20" s="201">
        <f t="shared" si="7"/>
        <v>0</v>
      </c>
      <c r="O20" s="201">
        <f t="shared" si="7"/>
        <v>0</v>
      </c>
      <c r="P20" s="201">
        <f t="shared" si="7"/>
        <v>0</v>
      </c>
      <c r="Q20" s="201">
        <f t="shared" si="7"/>
        <v>0</v>
      </c>
      <c r="R20" s="201">
        <f t="shared" si="7"/>
        <v>0</v>
      </c>
      <c r="S20" s="201">
        <f t="shared" si="7"/>
        <v>0</v>
      </c>
      <c r="T20" s="201">
        <f t="shared" si="7"/>
        <v>0</v>
      </c>
      <c r="U20" s="201">
        <f t="shared" si="7"/>
        <v>0</v>
      </c>
      <c r="V20" s="201">
        <f t="shared" si="7"/>
        <v>0</v>
      </c>
      <c r="W20" s="201">
        <f t="shared" si="7"/>
        <v>0</v>
      </c>
      <c r="X20" s="202">
        <f t="shared" si="7"/>
        <v>0</v>
      </c>
      <c r="Y20" s="97"/>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6"/>
    </row>
    <row r="21" spans="1:55" s="99" customFormat="1" ht="12.75" thickBot="1" x14ac:dyDescent="0.25">
      <c r="A21" s="98"/>
      <c r="B21" s="98"/>
      <c r="C21" s="98"/>
      <c r="D21" s="581" t="s">
        <v>331</v>
      </c>
      <c r="E21" s="201">
        <f t="shared" ref="E21:X21" si="8">SUMPRODUCT(E7:E18,$AD$7:$AD$18)*E$4</f>
        <v>0</v>
      </c>
      <c r="F21" s="201">
        <f t="shared" si="8"/>
        <v>0</v>
      </c>
      <c r="G21" s="201">
        <f t="shared" si="8"/>
        <v>0</v>
      </c>
      <c r="H21" s="201">
        <f t="shared" si="8"/>
        <v>0</v>
      </c>
      <c r="I21" s="201">
        <f t="shared" si="8"/>
        <v>0</v>
      </c>
      <c r="J21" s="201">
        <f t="shared" si="8"/>
        <v>0</v>
      </c>
      <c r="K21" s="201">
        <f t="shared" si="8"/>
        <v>0</v>
      </c>
      <c r="L21" s="201">
        <f t="shared" si="8"/>
        <v>0</v>
      </c>
      <c r="M21" s="201">
        <f t="shared" si="8"/>
        <v>0</v>
      </c>
      <c r="N21" s="201">
        <f t="shared" si="8"/>
        <v>0</v>
      </c>
      <c r="O21" s="201">
        <f t="shared" si="8"/>
        <v>0</v>
      </c>
      <c r="P21" s="201">
        <f t="shared" si="8"/>
        <v>0</v>
      </c>
      <c r="Q21" s="201">
        <f t="shared" si="8"/>
        <v>0</v>
      </c>
      <c r="R21" s="201">
        <f t="shared" si="8"/>
        <v>0</v>
      </c>
      <c r="S21" s="201">
        <f t="shared" si="8"/>
        <v>0</v>
      </c>
      <c r="T21" s="201">
        <f t="shared" si="8"/>
        <v>0</v>
      </c>
      <c r="U21" s="201">
        <f t="shared" si="8"/>
        <v>0</v>
      </c>
      <c r="V21" s="201">
        <f t="shared" si="8"/>
        <v>0</v>
      </c>
      <c r="W21" s="201">
        <f t="shared" si="8"/>
        <v>0</v>
      </c>
      <c r="X21" s="202">
        <f t="shared" si="8"/>
        <v>0</v>
      </c>
      <c r="Y21" s="97"/>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6"/>
    </row>
    <row r="22" spans="1:55" x14ac:dyDescent="0.2">
      <c r="A22" s="576"/>
      <c r="B22" s="98"/>
      <c r="C22" s="98"/>
      <c r="D22" s="98"/>
      <c r="E22" s="576"/>
      <c r="F22" s="576"/>
      <c r="G22" s="576"/>
      <c r="H22" s="576"/>
      <c r="I22" s="576"/>
      <c r="J22" s="576"/>
      <c r="K22" s="576"/>
      <c r="L22" s="576"/>
      <c r="M22" s="576"/>
      <c r="N22" s="576"/>
      <c r="O22" s="576"/>
      <c r="P22" s="576"/>
      <c r="Q22" s="576"/>
      <c r="R22" s="576"/>
      <c r="S22" s="576"/>
      <c r="T22" s="576"/>
      <c r="U22" s="576"/>
      <c r="V22" s="576"/>
      <c r="W22" s="576"/>
      <c r="X22" s="576"/>
      <c r="Y22" s="98"/>
      <c r="Z22" s="98"/>
      <c r="AA22" s="98"/>
      <c r="AB22" s="98"/>
      <c r="AC22" s="98"/>
      <c r="AD22" s="98"/>
      <c r="AE22" s="576"/>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7"/>
    </row>
    <row r="23" spans="1:55" x14ac:dyDescent="0.2">
      <c r="A23" s="576"/>
      <c r="B23" s="98"/>
      <c r="C23" s="98"/>
      <c r="D23" s="98"/>
      <c r="E23" s="576"/>
      <c r="F23" s="576"/>
      <c r="G23" s="576"/>
      <c r="H23" s="576"/>
      <c r="I23" s="576"/>
      <c r="J23" s="576"/>
      <c r="K23" s="576"/>
      <c r="L23" s="576"/>
      <c r="M23" s="576"/>
      <c r="N23" s="576"/>
      <c r="O23" s="576"/>
      <c r="P23" s="576"/>
      <c r="Q23" s="576"/>
      <c r="R23" s="576"/>
      <c r="S23" s="576"/>
      <c r="T23" s="576"/>
      <c r="U23" s="576"/>
      <c r="V23" s="576"/>
      <c r="W23" s="576"/>
      <c r="X23" s="576"/>
      <c r="Y23" s="98"/>
      <c r="Z23" s="98"/>
      <c r="AA23" s="98"/>
      <c r="AB23" s="98"/>
      <c r="AC23" s="98"/>
      <c r="AD23" s="98"/>
      <c r="AE23" s="576"/>
      <c r="AF23" s="576"/>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7"/>
    </row>
    <row r="24" spans="1:55" x14ac:dyDescent="0.2">
      <c r="A24" s="576"/>
      <c r="B24" s="98"/>
      <c r="C24" s="98"/>
      <c r="D24" s="98"/>
      <c r="E24" s="576"/>
      <c r="F24" s="576"/>
      <c r="G24" s="576"/>
      <c r="H24" s="576"/>
      <c r="I24" s="576"/>
      <c r="J24" s="576"/>
      <c r="K24" s="576"/>
      <c r="L24" s="576"/>
      <c r="M24" s="576"/>
      <c r="N24" s="576"/>
      <c r="O24" s="576"/>
      <c r="P24" s="576"/>
      <c r="Q24" s="576"/>
      <c r="R24" s="576"/>
      <c r="S24" s="576"/>
      <c r="T24" s="576"/>
      <c r="U24" s="576"/>
      <c r="V24" s="576"/>
      <c r="W24" s="576"/>
      <c r="X24" s="576"/>
      <c r="Y24" s="98"/>
      <c r="Z24" s="98"/>
      <c r="AA24" s="98"/>
      <c r="AB24" s="98"/>
      <c r="AC24" s="98"/>
      <c r="AD24" s="98"/>
      <c r="AE24" s="576"/>
      <c r="AF24" s="576"/>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7"/>
    </row>
    <row r="25" spans="1:55" x14ac:dyDescent="0.2">
      <c r="A25" s="576"/>
      <c r="B25" s="98"/>
      <c r="C25" s="98"/>
      <c r="D25" s="98"/>
      <c r="E25" s="576"/>
      <c r="F25" s="576"/>
      <c r="G25" s="576"/>
      <c r="H25" s="576"/>
      <c r="I25" s="576"/>
      <c r="J25" s="576"/>
      <c r="K25" s="576"/>
      <c r="L25" s="576"/>
      <c r="M25" s="576"/>
      <c r="N25" s="576"/>
      <c r="O25" s="576"/>
      <c r="P25" s="576"/>
      <c r="Q25" s="576"/>
      <c r="R25" s="576"/>
      <c r="S25" s="576"/>
      <c r="T25" s="576"/>
      <c r="U25" s="576"/>
      <c r="V25" s="576"/>
      <c r="W25" s="576"/>
      <c r="X25" s="576"/>
      <c r="Y25" s="98"/>
      <c r="Z25" s="98"/>
      <c r="AA25" s="98"/>
      <c r="AB25" s="98"/>
      <c r="AC25" s="98"/>
      <c r="AD25" s="98"/>
      <c r="AE25" s="576"/>
      <c r="AF25" s="576"/>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7"/>
    </row>
    <row r="26" spans="1:55" x14ac:dyDescent="0.2">
      <c r="A26" s="576"/>
      <c r="B26" s="98"/>
      <c r="C26" s="98"/>
      <c r="D26" s="98"/>
      <c r="E26" s="576"/>
      <c r="F26" s="576"/>
      <c r="G26" s="576"/>
      <c r="H26" s="576"/>
      <c r="I26" s="576"/>
      <c r="J26" s="576"/>
      <c r="K26" s="576"/>
      <c r="L26" s="576"/>
      <c r="M26" s="576"/>
      <c r="N26" s="576"/>
      <c r="O26" s="576"/>
      <c r="P26" s="576"/>
      <c r="Q26" s="576"/>
      <c r="R26" s="576"/>
      <c r="S26" s="576"/>
      <c r="T26" s="576"/>
      <c r="U26" s="576"/>
      <c r="V26" s="576"/>
      <c r="W26" s="576"/>
      <c r="X26" s="576"/>
      <c r="Y26" s="98"/>
      <c r="Z26" s="98"/>
      <c r="AA26" s="98"/>
      <c r="AB26" s="98"/>
      <c r="AC26" s="98"/>
      <c r="AD26" s="98"/>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7"/>
    </row>
    <row r="27" spans="1:55" x14ac:dyDescent="0.2">
      <c r="A27" s="576"/>
      <c r="B27" s="98"/>
      <c r="C27" s="98"/>
      <c r="D27" s="98"/>
      <c r="E27" s="576"/>
      <c r="F27" s="576"/>
      <c r="G27" s="576"/>
      <c r="H27" s="576"/>
      <c r="I27" s="576"/>
      <c r="J27" s="576"/>
      <c r="K27" s="576"/>
      <c r="L27" s="576"/>
      <c r="M27" s="576"/>
      <c r="N27" s="576"/>
      <c r="O27" s="576"/>
      <c r="P27" s="576"/>
      <c r="Q27" s="576"/>
      <c r="R27" s="576"/>
      <c r="S27" s="576"/>
      <c r="T27" s="576"/>
      <c r="U27" s="576"/>
      <c r="V27" s="576"/>
      <c r="W27" s="576"/>
      <c r="X27" s="576"/>
      <c r="Y27" s="98"/>
      <c r="Z27" s="98"/>
      <c r="AA27" s="98"/>
      <c r="AB27" s="98"/>
      <c r="AC27" s="98"/>
      <c r="AD27" s="98"/>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7"/>
    </row>
    <row r="28" spans="1:55" x14ac:dyDescent="0.2">
      <c r="A28" s="576"/>
      <c r="B28" s="98"/>
      <c r="C28" s="98"/>
      <c r="D28" s="98"/>
      <c r="E28" s="576"/>
      <c r="F28" s="576"/>
      <c r="G28" s="576"/>
      <c r="H28" s="576"/>
      <c r="I28" s="576"/>
      <c r="J28" s="576"/>
      <c r="K28" s="576"/>
      <c r="L28" s="576"/>
      <c r="M28" s="576"/>
      <c r="N28" s="576"/>
      <c r="O28" s="576"/>
      <c r="P28" s="576"/>
      <c r="Q28" s="576"/>
      <c r="R28" s="576"/>
      <c r="S28" s="576"/>
      <c r="T28" s="576"/>
      <c r="U28" s="576"/>
      <c r="V28" s="576"/>
      <c r="W28" s="576"/>
      <c r="X28" s="576"/>
      <c r="Y28" s="98"/>
      <c r="Z28" s="98"/>
      <c r="AA28" s="98"/>
      <c r="AB28" s="98"/>
      <c r="AC28" s="98"/>
      <c r="AD28" s="98"/>
      <c r="AE28" s="576"/>
      <c r="AF28" s="576"/>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7"/>
    </row>
    <row r="29" spans="1:55" x14ac:dyDescent="0.2">
      <c r="A29" s="576"/>
      <c r="B29" s="98"/>
      <c r="C29" s="98"/>
      <c r="D29" s="98"/>
      <c r="E29" s="576"/>
      <c r="F29" s="576"/>
      <c r="G29" s="576"/>
      <c r="H29" s="576"/>
      <c r="I29" s="576"/>
      <c r="J29" s="576"/>
      <c r="K29" s="576"/>
      <c r="L29" s="576"/>
      <c r="M29" s="576"/>
      <c r="N29" s="576"/>
      <c r="O29" s="576"/>
      <c r="P29" s="576"/>
      <c r="Q29" s="576"/>
      <c r="R29" s="576"/>
      <c r="S29" s="576"/>
      <c r="T29" s="576"/>
      <c r="U29" s="576"/>
      <c r="V29" s="576"/>
      <c r="W29" s="576"/>
      <c r="X29" s="576"/>
      <c r="Y29" s="98"/>
      <c r="Z29" s="98"/>
      <c r="AA29" s="98"/>
      <c r="AB29" s="98"/>
      <c r="AC29" s="98"/>
      <c r="AD29" s="98"/>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7"/>
    </row>
    <row r="30" spans="1:55" x14ac:dyDescent="0.2">
      <c r="A30" s="576"/>
      <c r="B30" s="98"/>
      <c r="C30" s="98"/>
      <c r="D30" s="98"/>
      <c r="E30" s="576"/>
      <c r="F30" s="576"/>
      <c r="G30" s="576"/>
      <c r="H30" s="576"/>
      <c r="I30" s="576"/>
      <c r="J30" s="576"/>
      <c r="K30" s="576"/>
      <c r="L30" s="576"/>
      <c r="M30" s="576"/>
      <c r="N30" s="576"/>
      <c r="O30" s="576"/>
      <c r="P30" s="576"/>
      <c r="Q30" s="576"/>
      <c r="R30" s="576"/>
      <c r="S30" s="576"/>
      <c r="T30" s="576"/>
      <c r="U30" s="576"/>
      <c r="V30" s="576"/>
      <c r="W30" s="576"/>
      <c r="X30" s="576"/>
      <c r="Y30" s="98"/>
      <c r="Z30" s="98"/>
      <c r="AA30" s="98"/>
      <c r="AB30" s="98"/>
      <c r="AC30" s="98"/>
      <c r="AD30" s="98"/>
      <c r="AE30" s="576"/>
      <c r="AF30" s="576"/>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7"/>
    </row>
    <row r="31" spans="1:55" x14ac:dyDescent="0.2">
      <c r="A31" s="576"/>
      <c r="B31" s="98"/>
      <c r="C31" s="98"/>
      <c r="D31" s="98"/>
      <c r="E31" s="576"/>
      <c r="F31" s="576"/>
      <c r="G31" s="576"/>
      <c r="H31" s="576"/>
      <c r="I31" s="576"/>
      <c r="J31" s="576"/>
      <c r="K31" s="576"/>
      <c r="L31" s="576"/>
      <c r="M31" s="576"/>
      <c r="N31" s="576"/>
      <c r="O31" s="576"/>
      <c r="P31" s="576"/>
      <c r="Q31" s="576"/>
      <c r="R31" s="576"/>
      <c r="S31" s="576"/>
      <c r="T31" s="576"/>
      <c r="U31" s="576"/>
      <c r="V31" s="576"/>
      <c r="W31" s="576"/>
      <c r="X31" s="576"/>
      <c r="Y31" s="98"/>
      <c r="Z31" s="98"/>
      <c r="AA31" s="98"/>
      <c r="AB31" s="98"/>
      <c r="AC31" s="98"/>
      <c r="AD31" s="98"/>
      <c r="AE31" s="576"/>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7"/>
    </row>
    <row r="32" spans="1:55" x14ac:dyDescent="0.2">
      <c r="A32" s="576"/>
      <c r="B32" s="98"/>
      <c r="C32" s="98"/>
      <c r="D32" s="98"/>
      <c r="E32" s="576"/>
      <c r="F32" s="576"/>
      <c r="G32" s="576"/>
      <c r="H32" s="576"/>
      <c r="I32" s="576"/>
      <c r="J32" s="576"/>
      <c r="K32" s="576"/>
      <c r="L32" s="576"/>
      <c r="M32" s="576"/>
      <c r="N32" s="576"/>
      <c r="O32" s="576"/>
      <c r="P32" s="576"/>
      <c r="Q32" s="576"/>
      <c r="R32" s="576"/>
      <c r="S32" s="576"/>
      <c r="T32" s="576"/>
      <c r="U32" s="576"/>
      <c r="V32" s="576"/>
      <c r="W32" s="576"/>
      <c r="X32" s="576"/>
      <c r="Y32" s="98"/>
      <c r="Z32" s="98"/>
      <c r="AA32" s="98"/>
      <c r="AB32" s="98"/>
      <c r="AC32" s="98"/>
      <c r="AD32" s="98"/>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7"/>
    </row>
    <row r="33" spans="1:55" x14ac:dyDescent="0.2">
      <c r="A33" s="576"/>
      <c r="B33" s="98"/>
      <c r="C33" s="98"/>
      <c r="D33" s="98"/>
      <c r="E33" s="576"/>
      <c r="F33" s="576"/>
      <c r="G33" s="576"/>
      <c r="H33" s="576"/>
      <c r="I33" s="576"/>
      <c r="J33" s="576"/>
      <c r="K33" s="576"/>
      <c r="L33" s="576"/>
      <c r="M33" s="576"/>
      <c r="N33" s="576"/>
      <c r="O33" s="576"/>
      <c r="P33" s="576"/>
      <c r="Q33" s="576"/>
      <c r="R33" s="576"/>
      <c r="S33" s="576"/>
      <c r="T33" s="576"/>
      <c r="U33" s="576"/>
      <c r="V33" s="576"/>
      <c r="W33" s="576"/>
      <c r="X33" s="576"/>
      <c r="Y33" s="98"/>
      <c r="Z33" s="98"/>
      <c r="AA33" s="98"/>
      <c r="AB33" s="98"/>
      <c r="AC33" s="98"/>
      <c r="AD33" s="98"/>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7"/>
    </row>
    <row r="34" spans="1:55" x14ac:dyDescent="0.2">
      <c r="A34" s="576"/>
      <c r="B34" s="98"/>
      <c r="C34" s="98"/>
      <c r="D34" s="98"/>
      <c r="E34" s="576"/>
      <c r="F34" s="576"/>
      <c r="G34" s="576"/>
      <c r="H34" s="576"/>
      <c r="I34" s="576"/>
      <c r="J34" s="576"/>
      <c r="K34" s="576"/>
      <c r="L34" s="576"/>
      <c r="M34" s="576"/>
      <c r="N34" s="576"/>
      <c r="O34" s="576"/>
      <c r="P34" s="576"/>
      <c r="Q34" s="576"/>
      <c r="R34" s="576"/>
      <c r="S34" s="576"/>
      <c r="T34" s="576"/>
      <c r="U34" s="576"/>
      <c r="V34" s="576"/>
      <c r="W34" s="576"/>
      <c r="X34" s="576"/>
      <c r="Y34" s="98"/>
      <c r="Z34" s="98"/>
      <c r="AA34" s="98"/>
      <c r="AB34" s="98"/>
      <c r="AC34" s="98"/>
      <c r="AD34" s="98"/>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7"/>
    </row>
    <row r="35" spans="1:55" x14ac:dyDescent="0.2">
      <c r="A35" s="576"/>
      <c r="B35" s="98"/>
      <c r="C35" s="98"/>
      <c r="D35" s="98"/>
      <c r="E35" s="576"/>
      <c r="F35" s="576"/>
      <c r="G35" s="576"/>
      <c r="H35" s="576"/>
      <c r="I35" s="576"/>
      <c r="J35" s="576"/>
      <c r="K35" s="576"/>
      <c r="L35" s="576"/>
      <c r="M35" s="576"/>
      <c r="N35" s="576"/>
      <c r="O35" s="576"/>
      <c r="P35" s="576"/>
      <c r="Q35" s="576"/>
      <c r="R35" s="576"/>
      <c r="S35" s="576"/>
      <c r="T35" s="576"/>
      <c r="U35" s="576"/>
      <c r="V35" s="576"/>
      <c r="W35" s="576"/>
      <c r="X35" s="576"/>
      <c r="Y35" s="98"/>
      <c r="Z35" s="98"/>
      <c r="AA35" s="98"/>
      <c r="AB35" s="98"/>
      <c r="AC35" s="98"/>
      <c r="AD35" s="98"/>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7"/>
    </row>
    <row r="36" spans="1:55" x14ac:dyDescent="0.2">
      <c r="A36" s="576"/>
      <c r="B36" s="98"/>
      <c r="C36" s="98"/>
      <c r="D36" s="98"/>
      <c r="E36" s="576"/>
      <c r="F36" s="576"/>
      <c r="G36" s="576"/>
      <c r="H36" s="576"/>
      <c r="I36" s="576"/>
      <c r="J36" s="576"/>
      <c r="K36" s="576"/>
      <c r="L36" s="576"/>
      <c r="M36" s="576"/>
      <c r="N36" s="576"/>
      <c r="O36" s="576"/>
      <c r="P36" s="576"/>
      <c r="Q36" s="576"/>
      <c r="R36" s="576"/>
      <c r="S36" s="576"/>
      <c r="T36" s="576"/>
      <c r="U36" s="576"/>
      <c r="V36" s="576"/>
      <c r="W36" s="576"/>
      <c r="X36" s="576"/>
      <c r="Y36" s="98"/>
      <c r="Z36" s="98"/>
      <c r="AA36" s="98"/>
      <c r="AB36" s="98"/>
      <c r="AC36" s="98"/>
      <c r="AD36" s="98"/>
      <c r="AE36" s="576"/>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7"/>
    </row>
    <row r="37" spans="1:55" x14ac:dyDescent="0.2">
      <c r="A37" s="576"/>
      <c r="B37" s="98"/>
      <c r="C37" s="98"/>
      <c r="D37" s="98"/>
      <c r="E37" s="576"/>
      <c r="F37" s="576"/>
      <c r="G37" s="576"/>
      <c r="H37" s="576"/>
      <c r="I37" s="576"/>
      <c r="J37" s="576"/>
      <c r="K37" s="576"/>
      <c r="L37" s="576"/>
      <c r="M37" s="576"/>
      <c r="N37" s="576"/>
      <c r="O37" s="576"/>
      <c r="P37" s="576"/>
      <c r="Q37" s="576"/>
      <c r="R37" s="576"/>
      <c r="S37" s="576"/>
      <c r="T37" s="576"/>
      <c r="U37" s="576"/>
      <c r="V37" s="576"/>
      <c r="W37" s="576"/>
      <c r="X37" s="576"/>
      <c r="Y37" s="98"/>
      <c r="Z37" s="98"/>
      <c r="AA37" s="98"/>
      <c r="AB37" s="98"/>
      <c r="AC37" s="98"/>
      <c r="AD37" s="98"/>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7"/>
    </row>
    <row r="38" spans="1:55" x14ac:dyDescent="0.2">
      <c r="A38" s="576"/>
      <c r="B38" s="98"/>
      <c r="C38" s="98"/>
      <c r="D38" s="98"/>
      <c r="E38" s="576"/>
      <c r="F38" s="576"/>
      <c r="G38" s="576"/>
      <c r="H38" s="576"/>
      <c r="I38" s="576"/>
      <c r="J38" s="576"/>
      <c r="K38" s="576"/>
      <c r="L38" s="576"/>
      <c r="M38" s="576"/>
      <c r="N38" s="576"/>
      <c r="O38" s="576"/>
      <c r="P38" s="576"/>
      <c r="Q38" s="576"/>
      <c r="R38" s="576"/>
      <c r="S38" s="576"/>
      <c r="T38" s="576"/>
      <c r="U38" s="576"/>
      <c r="V38" s="576"/>
      <c r="W38" s="576"/>
      <c r="X38" s="576"/>
      <c r="Y38" s="98"/>
      <c r="Z38" s="98"/>
      <c r="AA38" s="98"/>
      <c r="AB38" s="98"/>
      <c r="AC38" s="98"/>
      <c r="AD38" s="98"/>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7"/>
    </row>
    <row r="39" spans="1:55" x14ac:dyDescent="0.2">
      <c r="A39" s="576"/>
      <c r="B39" s="98"/>
      <c r="C39" s="98"/>
      <c r="D39" s="98"/>
      <c r="E39" s="576"/>
      <c r="F39" s="576"/>
      <c r="G39" s="576"/>
      <c r="H39" s="576"/>
      <c r="I39" s="576"/>
      <c r="J39" s="576"/>
      <c r="K39" s="576"/>
      <c r="L39" s="576"/>
      <c r="M39" s="576"/>
      <c r="N39" s="576"/>
      <c r="O39" s="576"/>
      <c r="P39" s="576"/>
      <c r="Q39" s="576"/>
      <c r="R39" s="576"/>
      <c r="S39" s="576"/>
      <c r="T39" s="576"/>
      <c r="U39" s="576"/>
      <c r="V39" s="576"/>
      <c r="W39" s="576"/>
      <c r="X39" s="576"/>
      <c r="Y39" s="98"/>
      <c r="Z39" s="98"/>
      <c r="AA39" s="98"/>
      <c r="AB39" s="98"/>
      <c r="AC39" s="98"/>
      <c r="AD39" s="98"/>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7"/>
    </row>
    <row r="40" spans="1:55" x14ac:dyDescent="0.2">
      <c r="A40" s="576"/>
      <c r="B40" s="98"/>
      <c r="C40" s="98"/>
      <c r="D40" s="98"/>
      <c r="E40" s="576"/>
      <c r="F40" s="576"/>
      <c r="G40" s="576"/>
      <c r="H40" s="576"/>
      <c r="I40" s="576"/>
      <c r="J40" s="576"/>
      <c r="K40" s="576"/>
      <c r="L40" s="576"/>
      <c r="M40" s="576"/>
      <c r="N40" s="576"/>
      <c r="O40" s="576"/>
      <c r="P40" s="576"/>
      <c r="Q40" s="576"/>
      <c r="R40" s="576"/>
      <c r="S40" s="576"/>
      <c r="T40" s="576"/>
      <c r="U40" s="576"/>
      <c r="V40" s="576"/>
      <c r="W40" s="576"/>
      <c r="X40" s="576"/>
      <c r="Y40" s="98"/>
      <c r="Z40" s="98"/>
      <c r="AA40" s="98"/>
      <c r="AB40" s="98"/>
      <c r="AC40" s="98"/>
      <c r="AD40" s="98"/>
      <c r="AE40" s="576"/>
      <c r="AF40" s="576"/>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7"/>
    </row>
    <row r="41" spans="1:55" x14ac:dyDescent="0.2">
      <c r="A41" s="576"/>
      <c r="B41" s="98"/>
      <c r="C41" s="98"/>
      <c r="D41" s="98"/>
      <c r="E41" s="576"/>
      <c r="F41" s="576"/>
      <c r="G41" s="576"/>
      <c r="H41" s="576"/>
      <c r="I41" s="576"/>
      <c r="J41" s="576"/>
      <c r="K41" s="576"/>
      <c r="L41" s="576"/>
      <c r="M41" s="576"/>
      <c r="N41" s="576"/>
      <c r="O41" s="576"/>
      <c r="P41" s="576"/>
      <c r="Q41" s="576"/>
      <c r="R41" s="576"/>
      <c r="S41" s="576"/>
      <c r="T41" s="576"/>
      <c r="U41" s="576"/>
      <c r="V41" s="576"/>
      <c r="W41" s="576"/>
      <c r="X41" s="576"/>
      <c r="Y41" s="98"/>
      <c r="Z41" s="98"/>
      <c r="AA41" s="98"/>
      <c r="AB41" s="98"/>
      <c r="AC41" s="98"/>
      <c r="AD41" s="98"/>
      <c r="AE41" s="576"/>
      <c r="AF41" s="576"/>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7"/>
    </row>
    <row r="42" spans="1:55" x14ac:dyDescent="0.2">
      <c r="A42" s="576"/>
      <c r="B42" s="98"/>
      <c r="C42" s="98"/>
      <c r="D42" s="98"/>
      <c r="E42" s="576"/>
      <c r="F42" s="576"/>
      <c r="G42" s="576"/>
      <c r="H42" s="576"/>
      <c r="I42" s="576"/>
      <c r="J42" s="576"/>
      <c r="K42" s="576"/>
      <c r="L42" s="576"/>
      <c r="M42" s="576"/>
      <c r="N42" s="576"/>
      <c r="O42" s="576"/>
      <c r="P42" s="576"/>
      <c r="Q42" s="576"/>
      <c r="R42" s="576"/>
      <c r="S42" s="576"/>
      <c r="T42" s="576"/>
      <c r="U42" s="576"/>
      <c r="V42" s="576"/>
      <c r="W42" s="576"/>
      <c r="X42" s="576"/>
      <c r="Y42" s="98"/>
      <c r="Z42" s="98"/>
      <c r="AA42" s="98"/>
      <c r="AB42" s="98"/>
      <c r="AC42" s="98"/>
      <c r="AD42" s="98"/>
      <c r="AE42" s="576"/>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7"/>
    </row>
    <row r="43" spans="1:55" x14ac:dyDescent="0.2">
      <c r="A43" s="576"/>
      <c r="B43" s="98"/>
      <c r="C43" s="98"/>
      <c r="D43" s="98"/>
      <c r="E43" s="576"/>
      <c r="F43" s="576"/>
      <c r="G43" s="576"/>
      <c r="H43" s="576"/>
      <c r="I43" s="576"/>
      <c r="J43" s="576"/>
      <c r="K43" s="576"/>
      <c r="L43" s="576"/>
      <c r="M43" s="576"/>
      <c r="N43" s="576"/>
      <c r="O43" s="576"/>
      <c r="P43" s="576"/>
      <c r="Q43" s="576"/>
      <c r="R43" s="576"/>
      <c r="S43" s="576"/>
      <c r="T43" s="576"/>
      <c r="U43" s="576"/>
      <c r="V43" s="576"/>
      <c r="W43" s="576"/>
      <c r="X43" s="576"/>
      <c r="Y43" s="98"/>
      <c r="Z43" s="98"/>
      <c r="AA43" s="98"/>
      <c r="AB43" s="98"/>
      <c r="AC43" s="98"/>
      <c r="AD43" s="98"/>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7"/>
    </row>
    <row r="44" spans="1:55" x14ac:dyDescent="0.2">
      <c r="A44" s="576"/>
      <c r="B44" s="98"/>
      <c r="C44" s="98"/>
      <c r="D44" s="98"/>
      <c r="E44" s="576"/>
      <c r="F44" s="576"/>
      <c r="G44" s="576"/>
      <c r="H44" s="576"/>
      <c r="I44" s="576"/>
      <c r="J44" s="576"/>
      <c r="K44" s="576"/>
      <c r="L44" s="576"/>
      <c r="M44" s="576"/>
      <c r="N44" s="576"/>
      <c r="O44" s="576"/>
      <c r="P44" s="576"/>
      <c r="Q44" s="576"/>
      <c r="R44" s="576"/>
      <c r="S44" s="576"/>
      <c r="T44" s="576"/>
      <c r="U44" s="576"/>
      <c r="V44" s="576"/>
      <c r="W44" s="576"/>
      <c r="X44" s="576"/>
      <c r="Y44" s="98"/>
      <c r="Z44" s="98"/>
      <c r="AA44" s="98"/>
      <c r="AB44" s="98"/>
      <c r="AC44" s="98"/>
      <c r="AD44" s="98"/>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7"/>
    </row>
    <row r="45" spans="1:55" x14ac:dyDescent="0.2">
      <c r="A45" s="576"/>
      <c r="B45" s="98"/>
      <c r="C45" s="98"/>
      <c r="D45" s="98"/>
      <c r="E45" s="576"/>
      <c r="F45" s="576"/>
      <c r="G45" s="576"/>
      <c r="H45" s="576"/>
      <c r="I45" s="576"/>
      <c r="J45" s="576"/>
      <c r="K45" s="576"/>
      <c r="L45" s="576"/>
      <c r="M45" s="576"/>
      <c r="N45" s="576"/>
      <c r="O45" s="576"/>
      <c r="P45" s="576"/>
      <c r="Q45" s="576"/>
      <c r="R45" s="576"/>
      <c r="S45" s="576"/>
      <c r="T45" s="576"/>
      <c r="U45" s="576"/>
      <c r="V45" s="576"/>
      <c r="W45" s="576"/>
      <c r="X45" s="576"/>
      <c r="Y45" s="98"/>
      <c r="Z45" s="98"/>
      <c r="AA45" s="98"/>
      <c r="AB45" s="98"/>
      <c r="AC45" s="98"/>
      <c r="AD45" s="98"/>
      <c r="AE45" s="576"/>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7"/>
    </row>
    <row r="46" spans="1:55" x14ac:dyDescent="0.2">
      <c r="A46" s="576"/>
      <c r="B46" s="98"/>
      <c r="C46" s="98"/>
      <c r="D46" s="98"/>
      <c r="E46" s="576"/>
      <c r="F46" s="576"/>
      <c r="G46" s="576"/>
      <c r="H46" s="576"/>
      <c r="I46" s="576"/>
      <c r="J46" s="576"/>
      <c r="K46" s="576"/>
      <c r="L46" s="576"/>
      <c r="M46" s="576"/>
      <c r="N46" s="576"/>
      <c r="O46" s="576"/>
      <c r="P46" s="576"/>
      <c r="Q46" s="576"/>
      <c r="R46" s="576"/>
      <c r="S46" s="576"/>
      <c r="T46" s="576"/>
      <c r="U46" s="576"/>
      <c r="V46" s="576"/>
      <c r="W46" s="576"/>
      <c r="X46" s="576"/>
      <c r="Y46" s="98"/>
      <c r="Z46" s="98"/>
      <c r="AA46" s="98"/>
      <c r="AB46" s="98"/>
      <c r="AC46" s="98"/>
      <c r="AD46" s="98"/>
      <c r="AE46" s="576"/>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7"/>
    </row>
    <row r="47" spans="1:55" x14ac:dyDescent="0.2">
      <c r="A47" s="576"/>
      <c r="B47" s="98"/>
      <c r="C47" s="98"/>
      <c r="D47" s="98"/>
      <c r="E47" s="576"/>
      <c r="F47" s="576"/>
      <c r="G47" s="576"/>
      <c r="H47" s="576"/>
      <c r="I47" s="576"/>
      <c r="J47" s="576"/>
      <c r="K47" s="576"/>
      <c r="L47" s="576"/>
      <c r="M47" s="576"/>
      <c r="N47" s="576"/>
      <c r="O47" s="576"/>
      <c r="P47" s="576"/>
      <c r="Q47" s="576"/>
      <c r="R47" s="576"/>
      <c r="S47" s="576"/>
      <c r="T47" s="576"/>
      <c r="U47" s="576"/>
      <c r="V47" s="576"/>
      <c r="W47" s="576"/>
      <c r="X47" s="576"/>
      <c r="Y47" s="98"/>
      <c r="Z47" s="98"/>
      <c r="AA47" s="98"/>
      <c r="AB47" s="98"/>
      <c r="AC47" s="98"/>
      <c r="AD47" s="98"/>
      <c r="AE47" s="576"/>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7"/>
    </row>
    <row r="48" spans="1:55" x14ac:dyDescent="0.2">
      <c r="A48" s="576"/>
      <c r="B48" s="98"/>
      <c r="C48" s="98"/>
      <c r="D48" s="98"/>
      <c r="E48" s="576"/>
      <c r="F48" s="576"/>
      <c r="G48" s="576"/>
      <c r="H48" s="576"/>
      <c r="I48" s="576"/>
      <c r="J48" s="576"/>
      <c r="K48" s="576"/>
      <c r="L48" s="576"/>
      <c r="M48" s="576"/>
      <c r="N48" s="576"/>
      <c r="O48" s="576"/>
      <c r="P48" s="576"/>
      <c r="Q48" s="576"/>
      <c r="R48" s="576"/>
      <c r="S48" s="576"/>
      <c r="T48" s="576"/>
      <c r="U48" s="576"/>
      <c r="V48" s="576"/>
      <c r="W48" s="576"/>
      <c r="X48" s="576"/>
      <c r="Y48" s="98"/>
      <c r="Z48" s="98"/>
      <c r="AA48" s="98"/>
      <c r="AB48" s="98"/>
      <c r="AC48" s="98"/>
      <c r="AD48" s="98"/>
      <c r="AE48" s="576"/>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7"/>
    </row>
    <row r="49" spans="1:55" x14ac:dyDescent="0.2">
      <c r="A49" s="576"/>
      <c r="B49" s="98"/>
      <c r="C49" s="98"/>
      <c r="D49" s="98"/>
      <c r="E49" s="576"/>
      <c r="F49" s="576"/>
      <c r="G49" s="576"/>
      <c r="H49" s="576"/>
      <c r="I49" s="576"/>
      <c r="J49" s="576"/>
      <c r="K49" s="576"/>
      <c r="L49" s="576"/>
      <c r="M49" s="576"/>
      <c r="N49" s="576"/>
      <c r="O49" s="576"/>
      <c r="P49" s="576"/>
      <c r="Q49" s="576"/>
      <c r="R49" s="576"/>
      <c r="S49" s="576"/>
      <c r="T49" s="576"/>
      <c r="U49" s="576"/>
      <c r="V49" s="576"/>
      <c r="W49" s="576"/>
      <c r="X49" s="576"/>
      <c r="Y49" s="98"/>
      <c r="Z49" s="98"/>
      <c r="AA49" s="98"/>
      <c r="AB49" s="98"/>
      <c r="AC49" s="98"/>
      <c r="AD49" s="98"/>
      <c r="AE49" s="576"/>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7"/>
    </row>
    <row r="50" spans="1:55" x14ac:dyDescent="0.2">
      <c r="A50" s="576"/>
      <c r="B50" s="98"/>
      <c r="C50" s="98"/>
      <c r="D50" s="98"/>
      <c r="E50" s="576"/>
      <c r="F50" s="576"/>
      <c r="G50" s="576"/>
      <c r="H50" s="576"/>
      <c r="I50" s="576"/>
      <c r="J50" s="576"/>
      <c r="K50" s="576"/>
      <c r="L50" s="576"/>
      <c r="M50" s="576"/>
      <c r="N50" s="576"/>
      <c r="O50" s="576"/>
      <c r="P50" s="576"/>
      <c r="Q50" s="576"/>
      <c r="R50" s="576"/>
      <c r="S50" s="576"/>
      <c r="T50" s="576"/>
      <c r="U50" s="576"/>
      <c r="V50" s="576"/>
      <c r="W50" s="576"/>
      <c r="X50" s="576"/>
      <c r="Y50" s="98"/>
      <c r="Z50" s="98"/>
      <c r="AA50" s="98"/>
      <c r="AB50" s="98"/>
      <c r="AC50" s="98"/>
      <c r="AD50" s="98"/>
      <c r="AE50" s="576"/>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7"/>
    </row>
    <row r="51" spans="1:55" x14ac:dyDescent="0.2">
      <c r="A51" s="576"/>
      <c r="B51" s="98"/>
      <c r="C51" s="98"/>
      <c r="D51" s="98"/>
      <c r="E51" s="576"/>
      <c r="F51" s="576"/>
      <c r="G51" s="576"/>
      <c r="H51" s="576"/>
      <c r="I51" s="576"/>
      <c r="J51" s="576"/>
      <c r="K51" s="576"/>
      <c r="L51" s="576"/>
      <c r="M51" s="576"/>
      <c r="N51" s="576"/>
      <c r="O51" s="576"/>
      <c r="P51" s="576"/>
      <c r="Q51" s="576"/>
      <c r="R51" s="576"/>
      <c r="S51" s="576"/>
      <c r="T51" s="576"/>
      <c r="U51" s="576"/>
      <c r="V51" s="576"/>
      <c r="W51" s="576"/>
      <c r="X51" s="576"/>
      <c r="Y51" s="98"/>
      <c r="Z51" s="98"/>
      <c r="AA51" s="98"/>
      <c r="AB51" s="98"/>
      <c r="AC51" s="98"/>
      <c r="AD51" s="98"/>
      <c r="AE51" s="576"/>
      <c r="AF51" s="576"/>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7"/>
    </row>
    <row r="52" spans="1:55" x14ac:dyDescent="0.2">
      <c r="A52" s="576"/>
      <c r="B52" s="98"/>
      <c r="C52" s="98"/>
      <c r="D52" s="98"/>
      <c r="E52" s="576"/>
      <c r="F52" s="576"/>
      <c r="G52" s="576"/>
      <c r="H52" s="576"/>
      <c r="I52" s="576"/>
      <c r="J52" s="576"/>
      <c r="K52" s="576"/>
      <c r="L52" s="576"/>
      <c r="M52" s="576"/>
      <c r="N52" s="576"/>
      <c r="O52" s="576"/>
      <c r="P52" s="576"/>
      <c r="Q52" s="576"/>
      <c r="R52" s="576"/>
      <c r="S52" s="576"/>
      <c r="T52" s="576"/>
      <c r="U52" s="576"/>
      <c r="V52" s="576"/>
      <c r="W52" s="576"/>
      <c r="X52" s="576"/>
      <c r="Y52" s="98"/>
      <c r="Z52" s="98"/>
      <c r="AA52" s="98"/>
      <c r="AB52" s="98"/>
      <c r="AC52" s="98"/>
      <c r="AD52" s="98"/>
      <c r="AE52" s="576"/>
      <c r="AF52" s="576"/>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7"/>
    </row>
    <row r="53" spans="1:55" x14ac:dyDescent="0.2">
      <c r="A53" s="576"/>
      <c r="B53" s="98"/>
      <c r="C53" s="98"/>
      <c r="D53" s="98"/>
      <c r="E53" s="576"/>
      <c r="F53" s="576"/>
      <c r="G53" s="576"/>
      <c r="H53" s="576"/>
      <c r="I53" s="576"/>
      <c r="J53" s="576"/>
      <c r="K53" s="576"/>
      <c r="L53" s="576"/>
      <c r="M53" s="576"/>
      <c r="N53" s="576"/>
      <c r="O53" s="576"/>
      <c r="P53" s="576"/>
      <c r="Q53" s="576"/>
      <c r="R53" s="576"/>
      <c r="S53" s="576"/>
      <c r="T53" s="576"/>
      <c r="U53" s="576"/>
      <c r="V53" s="576"/>
      <c r="W53" s="576"/>
      <c r="X53" s="576"/>
      <c r="Y53" s="98"/>
      <c r="Z53" s="98"/>
      <c r="AA53" s="98"/>
      <c r="AB53" s="98"/>
      <c r="AC53" s="98"/>
      <c r="AD53" s="98"/>
      <c r="AE53" s="576"/>
      <c r="AF53" s="576"/>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7"/>
    </row>
    <row r="54" spans="1:55" x14ac:dyDescent="0.2">
      <c r="A54" s="576"/>
      <c r="B54" s="98"/>
      <c r="C54" s="98"/>
      <c r="D54" s="98"/>
      <c r="E54" s="576"/>
      <c r="F54" s="576"/>
      <c r="G54" s="576"/>
      <c r="H54" s="576"/>
      <c r="I54" s="576"/>
      <c r="J54" s="576"/>
      <c r="K54" s="576"/>
      <c r="L54" s="576"/>
      <c r="M54" s="576"/>
      <c r="N54" s="576"/>
      <c r="O54" s="576"/>
      <c r="P54" s="576"/>
      <c r="Q54" s="576"/>
      <c r="R54" s="576"/>
      <c r="S54" s="576"/>
      <c r="T54" s="576"/>
      <c r="U54" s="576"/>
      <c r="V54" s="576"/>
      <c r="W54" s="576"/>
      <c r="X54" s="576"/>
      <c r="Y54" s="98"/>
      <c r="Z54" s="98"/>
      <c r="AA54" s="98"/>
      <c r="AB54" s="98"/>
      <c r="AC54" s="98"/>
      <c r="AD54" s="98"/>
      <c r="AE54" s="576"/>
      <c r="AF54" s="576"/>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7"/>
    </row>
    <row r="55" spans="1:55" x14ac:dyDescent="0.2">
      <c r="A55" s="576"/>
      <c r="B55" s="98"/>
      <c r="C55" s="98"/>
      <c r="D55" s="98"/>
      <c r="E55" s="576"/>
      <c r="F55" s="576"/>
      <c r="G55" s="576"/>
      <c r="H55" s="576"/>
      <c r="I55" s="576"/>
      <c r="J55" s="576"/>
      <c r="K55" s="576"/>
      <c r="L55" s="576"/>
      <c r="M55" s="576"/>
      <c r="N55" s="576"/>
      <c r="O55" s="576"/>
      <c r="P55" s="576"/>
      <c r="Q55" s="576"/>
      <c r="R55" s="576"/>
      <c r="S55" s="576"/>
      <c r="T55" s="576"/>
      <c r="U55" s="576"/>
      <c r="V55" s="576"/>
      <c r="W55" s="576"/>
      <c r="X55" s="576"/>
      <c r="Y55" s="98"/>
      <c r="Z55" s="98"/>
      <c r="AA55" s="98"/>
      <c r="AB55" s="98"/>
      <c r="AC55" s="98"/>
      <c r="AD55" s="98"/>
      <c r="AE55" s="576"/>
      <c r="AF55" s="576"/>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7"/>
    </row>
    <row r="56" spans="1:55" x14ac:dyDescent="0.2">
      <c r="A56" s="576"/>
      <c r="B56" s="98"/>
      <c r="C56" s="98"/>
      <c r="D56" s="98"/>
      <c r="E56" s="576"/>
      <c r="F56" s="576"/>
      <c r="G56" s="576"/>
      <c r="H56" s="576"/>
      <c r="I56" s="576"/>
      <c r="J56" s="576"/>
      <c r="K56" s="576"/>
      <c r="L56" s="576"/>
      <c r="M56" s="576"/>
      <c r="N56" s="576"/>
      <c r="O56" s="576"/>
      <c r="P56" s="576"/>
      <c r="Q56" s="576"/>
      <c r="R56" s="576"/>
      <c r="S56" s="576"/>
      <c r="T56" s="576"/>
      <c r="U56" s="576"/>
      <c r="V56" s="576"/>
      <c r="W56" s="576"/>
      <c r="X56" s="576"/>
      <c r="Y56" s="98"/>
      <c r="Z56" s="98"/>
      <c r="AA56" s="98"/>
      <c r="AB56" s="98"/>
      <c r="AC56" s="98"/>
      <c r="AD56" s="98"/>
      <c r="AE56" s="576"/>
      <c r="AF56" s="576"/>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7"/>
    </row>
    <row r="57" spans="1:55" x14ac:dyDescent="0.2">
      <c r="A57" s="576"/>
      <c r="B57" s="98"/>
      <c r="C57" s="98"/>
      <c r="D57" s="98"/>
      <c r="E57" s="576"/>
      <c r="F57" s="576"/>
      <c r="G57" s="576"/>
      <c r="H57" s="576"/>
      <c r="I57" s="576"/>
      <c r="J57" s="576"/>
      <c r="K57" s="576"/>
      <c r="L57" s="576"/>
      <c r="M57" s="576"/>
      <c r="N57" s="576"/>
      <c r="O57" s="576"/>
      <c r="P57" s="576"/>
      <c r="Q57" s="576"/>
      <c r="R57" s="576"/>
      <c r="S57" s="576"/>
      <c r="T57" s="576"/>
      <c r="U57" s="576"/>
      <c r="V57" s="576"/>
      <c r="W57" s="576"/>
      <c r="X57" s="576"/>
      <c r="Y57" s="98"/>
      <c r="Z57" s="98"/>
      <c r="AA57" s="98"/>
      <c r="AB57" s="98"/>
      <c r="AC57" s="98"/>
      <c r="AD57" s="98"/>
      <c r="AE57" s="576"/>
      <c r="AF57" s="576"/>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7"/>
    </row>
    <row r="58" spans="1:55" x14ac:dyDescent="0.2">
      <c r="A58" s="576"/>
      <c r="B58" s="98"/>
      <c r="C58" s="98"/>
      <c r="D58" s="98"/>
      <c r="E58" s="576"/>
      <c r="F58" s="576"/>
      <c r="G58" s="576"/>
      <c r="H58" s="576"/>
      <c r="I58" s="576"/>
      <c r="J58" s="576"/>
      <c r="K58" s="576"/>
      <c r="L58" s="576"/>
      <c r="M58" s="576"/>
      <c r="N58" s="576"/>
      <c r="O58" s="576"/>
      <c r="P58" s="576"/>
      <c r="Q58" s="576"/>
      <c r="R58" s="576"/>
      <c r="S58" s="576"/>
      <c r="T58" s="576"/>
      <c r="U58" s="576"/>
      <c r="V58" s="576"/>
      <c r="W58" s="576"/>
      <c r="X58" s="576"/>
      <c r="Y58" s="98"/>
      <c r="Z58" s="98"/>
      <c r="AA58" s="98"/>
      <c r="AB58" s="98"/>
      <c r="AC58" s="98"/>
      <c r="AD58" s="98"/>
      <c r="AE58" s="576"/>
      <c r="AF58" s="576"/>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7"/>
    </row>
    <row r="59" spans="1:55" x14ac:dyDescent="0.2">
      <c r="A59" s="576"/>
      <c r="B59" s="98"/>
      <c r="C59" s="98"/>
      <c r="D59" s="98"/>
      <c r="E59" s="576"/>
      <c r="F59" s="576"/>
      <c r="G59" s="576"/>
      <c r="H59" s="576"/>
      <c r="I59" s="576"/>
      <c r="J59" s="576"/>
      <c r="K59" s="576"/>
      <c r="L59" s="576"/>
      <c r="M59" s="576"/>
      <c r="N59" s="576"/>
      <c r="O59" s="576"/>
      <c r="P59" s="576"/>
      <c r="Q59" s="576"/>
      <c r="R59" s="576"/>
      <c r="S59" s="576"/>
      <c r="T59" s="576"/>
      <c r="U59" s="576"/>
      <c r="V59" s="576"/>
      <c r="W59" s="576"/>
      <c r="X59" s="576"/>
      <c r="Y59" s="98"/>
      <c r="Z59" s="98"/>
      <c r="AA59" s="98"/>
      <c r="AB59" s="98"/>
      <c r="AC59" s="98"/>
      <c r="AD59" s="98"/>
      <c r="AE59" s="576"/>
      <c r="AF59" s="576"/>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7"/>
    </row>
    <row r="60" spans="1:55" x14ac:dyDescent="0.2">
      <c r="A60" s="576"/>
      <c r="B60" s="98"/>
      <c r="C60" s="98"/>
      <c r="D60" s="98"/>
      <c r="E60" s="576"/>
      <c r="F60" s="576"/>
      <c r="G60" s="576"/>
      <c r="H60" s="576"/>
      <c r="I60" s="576"/>
      <c r="J60" s="576"/>
      <c r="K60" s="576"/>
      <c r="L60" s="576"/>
      <c r="M60" s="576"/>
      <c r="N60" s="576"/>
      <c r="O60" s="576"/>
      <c r="P60" s="576"/>
      <c r="Q60" s="576"/>
      <c r="R60" s="576"/>
      <c r="S60" s="576"/>
      <c r="T60" s="576"/>
      <c r="U60" s="576"/>
      <c r="V60" s="576"/>
      <c r="W60" s="576"/>
      <c r="X60" s="576"/>
      <c r="Y60" s="98"/>
      <c r="Z60" s="98"/>
      <c r="AA60" s="98"/>
      <c r="AB60" s="98"/>
      <c r="AC60" s="98"/>
      <c r="AD60" s="98"/>
      <c r="AE60" s="576"/>
      <c r="AF60" s="576"/>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7"/>
    </row>
    <row r="61" spans="1:55" x14ac:dyDescent="0.2">
      <c r="A61" s="576"/>
      <c r="B61" s="98"/>
      <c r="C61" s="98"/>
      <c r="D61" s="98"/>
      <c r="E61" s="576"/>
      <c r="F61" s="576"/>
      <c r="G61" s="576"/>
      <c r="H61" s="576"/>
      <c r="I61" s="576"/>
      <c r="J61" s="576"/>
      <c r="K61" s="576"/>
      <c r="L61" s="576"/>
      <c r="M61" s="576"/>
      <c r="N61" s="576"/>
      <c r="O61" s="576"/>
      <c r="P61" s="576"/>
      <c r="Q61" s="576"/>
      <c r="R61" s="576"/>
      <c r="S61" s="576"/>
      <c r="T61" s="576"/>
      <c r="U61" s="576"/>
      <c r="V61" s="576"/>
      <c r="W61" s="576"/>
      <c r="X61" s="576"/>
      <c r="Y61" s="98"/>
      <c r="Z61" s="98"/>
      <c r="AA61" s="98"/>
      <c r="AB61" s="98"/>
      <c r="AC61" s="98"/>
      <c r="AD61" s="98"/>
      <c r="AE61" s="576"/>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7"/>
    </row>
    <row r="62" spans="1:55" x14ac:dyDescent="0.2">
      <c r="A62" s="576"/>
      <c r="B62" s="98"/>
      <c r="C62" s="98"/>
      <c r="D62" s="98"/>
      <c r="E62" s="576"/>
      <c r="F62" s="576"/>
      <c r="G62" s="576"/>
      <c r="H62" s="576"/>
      <c r="I62" s="576"/>
      <c r="J62" s="576"/>
      <c r="K62" s="576"/>
      <c r="L62" s="576"/>
      <c r="M62" s="576"/>
      <c r="N62" s="576"/>
      <c r="O62" s="576"/>
      <c r="P62" s="576"/>
      <c r="Q62" s="576"/>
      <c r="R62" s="576"/>
      <c r="S62" s="576"/>
      <c r="T62" s="576"/>
      <c r="U62" s="576"/>
      <c r="V62" s="576"/>
      <c r="W62" s="576"/>
      <c r="X62" s="576"/>
      <c r="Y62" s="98"/>
      <c r="Z62" s="98"/>
      <c r="AA62" s="98"/>
      <c r="AB62" s="98"/>
      <c r="AC62" s="98"/>
      <c r="AD62" s="98"/>
      <c r="AE62" s="576"/>
      <c r="AF62" s="576"/>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7"/>
    </row>
    <row r="63" spans="1:55" x14ac:dyDescent="0.2">
      <c r="A63" s="576"/>
      <c r="B63" s="98"/>
      <c r="C63" s="98"/>
      <c r="D63" s="98"/>
      <c r="E63" s="576"/>
      <c r="F63" s="576"/>
      <c r="G63" s="576"/>
      <c r="H63" s="576"/>
      <c r="I63" s="576"/>
      <c r="J63" s="576"/>
      <c r="K63" s="576"/>
      <c r="L63" s="576"/>
      <c r="M63" s="576"/>
      <c r="N63" s="576"/>
      <c r="O63" s="576"/>
      <c r="P63" s="576"/>
      <c r="Q63" s="576"/>
      <c r="R63" s="576"/>
      <c r="S63" s="576"/>
      <c r="T63" s="576"/>
      <c r="U63" s="576"/>
      <c r="V63" s="576"/>
      <c r="W63" s="576"/>
      <c r="X63" s="576"/>
      <c r="Y63" s="98"/>
      <c r="Z63" s="98"/>
      <c r="AA63" s="98"/>
      <c r="AB63" s="98"/>
      <c r="AC63" s="98"/>
      <c r="AD63" s="98"/>
      <c r="AE63" s="576"/>
      <c r="AF63" s="576"/>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7"/>
    </row>
    <row r="64" spans="1:55" x14ac:dyDescent="0.2">
      <c r="A64" s="576"/>
      <c r="B64" s="98"/>
      <c r="C64" s="98"/>
      <c r="D64" s="98"/>
      <c r="E64" s="576"/>
      <c r="F64" s="576"/>
      <c r="G64" s="576"/>
      <c r="H64" s="576"/>
      <c r="I64" s="576"/>
      <c r="J64" s="576"/>
      <c r="K64" s="576"/>
      <c r="L64" s="576"/>
      <c r="M64" s="576"/>
      <c r="N64" s="576"/>
      <c r="O64" s="576"/>
      <c r="P64" s="576"/>
      <c r="Q64" s="576"/>
      <c r="R64" s="576"/>
      <c r="S64" s="576"/>
      <c r="T64" s="576"/>
      <c r="U64" s="576"/>
      <c r="V64" s="576"/>
      <c r="W64" s="576"/>
      <c r="X64" s="576"/>
      <c r="Y64" s="98"/>
      <c r="Z64" s="98"/>
      <c r="AA64" s="98"/>
      <c r="AB64" s="98"/>
      <c r="AC64" s="98"/>
      <c r="AD64" s="98"/>
      <c r="AE64" s="576"/>
      <c r="AF64" s="576"/>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7"/>
    </row>
    <row r="65" spans="1:55" x14ac:dyDescent="0.2">
      <c r="A65" s="576"/>
      <c r="B65" s="98"/>
      <c r="C65" s="98"/>
      <c r="D65" s="98"/>
      <c r="E65" s="576"/>
      <c r="F65" s="576"/>
      <c r="G65" s="576"/>
      <c r="H65" s="576"/>
      <c r="I65" s="576"/>
      <c r="J65" s="576"/>
      <c r="K65" s="576"/>
      <c r="L65" s="576"/>
      <c r="M65" s="576"/>
      <c r="N65" s="576"/>
      <c r="O65" s="576"/>
      <c r="P65" s="576"/>
      <c r="Q65" s="576"/>
      <c r="R65" s="576"/>
      <c r="S65" s="576"/>
      <c r="T65" s="576"/>
      <c r="U65" s="576"/>
      <c r="V65" s="576"/>
      <c r="W65" s="576"/>
      <c r="X65" s="576"/>
      <c r="Y65" s="98"/>
      <c r="Z65" s="98"/>
      <c r="AA65" s="98"/>
      <c r="AB65" s="98"/>
      <c r="AC65" s="98"/>
      <c r="AD65" s="98"/>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7"/>
    </row>
    <row r="66" spans="1:55" x14ac:dyDescent="0.2">
      <c r="A66" s="576"/>
      <c r="B66" s="98"/>
      <c r="C66" s="98"/>
      <c r="D66" s="98"/>
      <c r="E66" s="576"/>
      <c r="F66" s="576"/>
      <c r="G66" s="576"/>
      <c r="H66" s="576"/>
      <c r="I66" s="576"/>
      <c r="J66" s="576"/>
      <c r="K66" s="576"/>
      <c r="L66" s="576"/>
      <c r="M66" s="576"/>
      <c r="N66" s="576"/>
      <c r="O66" s="576"/>
      <c r="P66" s="576"/>
      <c r="Q66" s="576"/>
      <c r="R66" s="576"/>
      <c r="S66" s="576"/>
      <c r="T66" s="576"/>
      <c r="U66" s="576"/>
      <c r="V66" s="576"/>
      <c r="W66" s="576"/>
      <c r="X66" s="576"/>
      <c r="Y66" s="98"/>
      <c r="Z66" s="98"/>
      <c r="AA66" s="98"/>
      <c r="AB66" s="98"/>
      <c r="AC66" s="98"/>
      <c r="AD66" s="98"/>
      <c r="AE66" s="576"/>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7"/>
    </row>
    <row r="67" spans="1:55" x14ac:dyDescent="0.2">
      <c r="A67" s="576"/>
      <c r="B67" s="98"/>
      <c r="C67" s="98"/>
      <c r="D67" s="98"/>
      <c r="E67" s="576"/>
      <c r="F67" s="576"/>
      <c r="G67" s="576"/>
      <c r="H67" s="576"/>
      <c r="I67" s="576"/>
      <c r="J67" s="576"/>
      <c r="K67" s="576"/>
      <c r="L67" s="576"/>
      <c r="M67" s="576"/>
      <c r="N67" s="576"/>
      <c r="O67" s="576"/>
      <c r="P67" s="576"/>
      <c r="Q67" s="576"/>
      <c r="R67" s="576"/>
      <c r="S67" s="576"/>
      <c r="T67" s="576"/>
      <c r="U67" s="576"/>
      <c r="V67" s="576"/>
      <c r="W67" s="576"/>
      <c r="X67" s="576"/>
      <c r="Y67" s="98"/>
      <c r="Z67" s="98"/>
      <c r="AA67" s="98"/>
      <c r="AB67" s="98"/>
      <c r="AC67" s="98"/>
      <c r="AD67" s="98"/>
      <c r="AE67" s="576"/>
      <c r="AF67" s="576"/>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7"/>
    </row>
    <row r="68" spans="1:55" x14ac:dyDescent="0.2">
      <c r="A68" s="576"/>
      <c r="B68" s="98"/>
      <c r="C68" s="98"/>
      <c r="D68" s="98"/>
      <c r="E68" s="576"/>
      <c r="F68" s="576"/>
      <c r="G68" s="576"/>
      <c r="H68" s="576"/>
      <c r="I68" s="576"/>
      <c r="J68" s="576"/>
      <c r="K68" s="576"/>
      <c r="L68" s="576"/>
      <c r="M68" s="576"/>
      <c r="N68" s="576"/>
      <c r="O68" s="576"/>
      <c r="P68" s="576"/>
      <c r="Q68" s="576"/>
      <c r="R68" s="576"/>
      <c r="S68" s="576"/>
      <c r="T68" s="576"/>
      <c r="U68" s="576"/>
      <c r="V68" s="576"/>
      <c r="W68" s="576"/>
      <c r="X68" s="576"/>
      <c r="Y68" s="98"/>
      <c r="Z68" s="98"/>
      <c r="AA68" s="98"/>
      <c r="AB68" s="98"/>
      <c r="AC68" s="98"/>
      <c r="AD68" s="98"/>
      <c r="AE68" s="576"/>
      <c r="AF68" s="576"/>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7"/>
    </row>
    <row r="69" spans="1:55" x14ac:dyDescent="0.2">
      <c r="A69" s="576"/>
      <c r="B69" s="98"/>
      <c r="C69" s="98"/>
      <c r="D69" s="98"/>
      <c r="E69" s="576"/>
      <c r="F69" s="576"/>
      <c r="G69" s="576"/>
      <c r="H69" s="576"/>
      <c r="I69" s="576"/>
      <c r="J69" s="576"/>
      <c r="K69" s="576"/>
      <c r="L69" s="576"/>
      <c r="M69" s="576"/>
      <c r="N69" s="576"/>
      <c r="O69" s="576"/>
      <c r="P69" s="576"/>
      <c r="Q69" s="576"/>
      <c r="R69" s="576"/>
      <c r="S69" s="576"/>
      <c r="T69" s="576"/>
      <c r="U69" s="576"/>
      <c r="V69" s="576"/>
      <c r="W69" s="576"/>
      <c r="X69" s="576"/>
      <c r="Y69" s="98"/>
      <c r="Z69" s="98"/>
      <c r="AA69" s="98"/>
      <c r="AB69" s="98"/>
      <c r="AC69" s="98"/>
      <c r="AD69" s="98"/>
      <c r="AE69" s="576"/>
      <c r="AF69" s="576"/>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7"/>
    </row>
    <row r="70" spans="1:55" x14ac:dyDescent="0.2">
      <c r="A70" s="576"/>
      <c r="B70" s="98"/>
      <c r="C70" s="98"/>
      <c r="D70" s="98"/>
      <c r="E70" s="576"/>
      <c r="F70" s="576"/>
      <c r="G70" s="576"/>
      <c r="H70" s="576"/>
      <c r="I70" s="576"/>
      <c r="J70" s="576"/>
      <c r="K70" s="576"/>
      <c r="L70" s="576"/>
      <c r="M70" s="576"/>
      <c r="N70" s="576"/>
      <c r="O70" s="576"/>
      <c r="P70" s="576"/>
      <c r="Q70" s="576"/>
      <c r="R70" s="576"/>
      <c r="S70" s="576"/>
      <c r="T70" s="576"/>
      <c r="U70" s="576"/>
      <c r="V70" s="576"/>
      <c r="W70" s="576"/>
      <c r="X70" s="576"/>
      <c r="Y70" s="98"/>
      <c r="Z70" s="98"/>
      <c r="AA70" s="98"/>
      <c r="AB70" s="98"/>
      <c r="AC70" s="98"/>
      <c r="AD70" s="98"/>
      <c r="AE70" s="576"/>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7"/>
    </row>
    <row r="71" spans="1:55" x14ac:dyDescent="0.2">
      <c r="A71" s="576"/>
      <c r="B71" s="98"/>
      <c r="C71" s="98"/>
      <c r="D71" s="98"/>
      <c r="E71" s="576"/>
      <c r="F71" s="576"/>
      <c r="G71" s="576"/>
      <c r="H71" s="576"/>
      <c r="I71" s="576"/>
      <c r="J71" s="576"/>
      <c r="K71" s="576"/>
      <c r="L71" s="576"/>
      <c r="M71" s="576"/>
      <c r="N71" s="576"/>
      <c r="O71" s="576"/>
      <c r="P71" s="576"/>
      <c r="Q71" s="576"/>
      <c r="R71" s="576"/>
      <c r="S71" s="576"/>
      <c r="T71" s="576"/>
      <c r="U71" s="576"/>
      <c r="V71" s="576"/>
      <c r="W71" s="576"/>
      <c r="X71" s="576"/>
      <c r="Y71" s="98"/>
      <c r="Z71" s="98"/>
      <c r="AA71" s="98"/>
      <c r="AB71" s="98"/>
      <c r="AC71" s="98"/>
      <c r="AD71" s="98"/>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7"/>
    </row>
    <row r="72" spans="1:55" x14ac:dyDescent="0.2">
      <c r="A72" s="576"/>
      <c r="B72" s="98"/>
      <c r="C72" s="98"/>
      <c r="D72" s="98"/>
      <c r="E72" s="576"/>
      <c r="F72" s="576"/>
      <c r="G72" s="576"/>
      <c r="H72" s="576"/>
      <c r="I72" s="576"/>
      <c r="J72" s="576"/>
      <c r="K72" s="576"/>
      <c r="L72" s="576"/>
      <c r="M72" s="576"/>
      <c r="N72" s="576"/>
      <c r="O72" s="576"/>
      <c r="P72" s="576"/>
      <c r="Q72" s="576"/>
      <c r="R72" s="576"/>
      <c r="S72" s="576"/>
      <c r="T72" s="576"/>
      <c r="U72" s="576"/>
      <c r="V72" s="576"/>
      <c r="W72" s="576"/>
      <c r="X72" s="576"/>
      <c r="Y72" s="98"/>
      <c r="Z72" s="98"/>
      <c r="AA72" s="98"/>
      <c r="AB72" s="98"/>
      <c r="AC72" s="98"/>
      <c r="AD72" s="98"/>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7"/>
    </row>
    <row r="73" spans="1:55" x14ac:dyDescent="0.2">
      <c r="A73" s="576"/>
      <c r="B73" s="98"/>
      <c r="C73" s="98"/>
      <c r="D73" s="98"/>
      <c r="E73" s="576"/>
      <c r="F73" s="576"/>
      <c r="G73" s="576"/>
      <c r="H73" s="576"/>
      <c r="I73" s="576"/>
      <c r="J73" s="576"/>
      <c r="K73" s="576"/>
      <c r="L73" s="576"/>
      <c r="M73" s="576"/>
      <c r="N73" s="576"/>
      <c r="O73" s="576"/>
      <c r="P73" s="576"/>
      <c r="Q73" s="576"/>
      <c r="R73" s="576"/>
      <c r="S73" s="576"/>
      <c r="T73" s="576"/>
      <c r="U73" s="576"/>
      <c r="V73" s="576"/>
      <c r="W73" s="576"/>
      <c r="X73" s="576"/>
      <c r="Y73" s="98"/>
      <c r="Z73" s="98"/>
      <c r="AA73" s="98"/>
      <c r="AB73" s="98"/>
      <c r="AC73" s="98"/>
      <c r="AD73" s="98"/>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7"/>
    </row>
    <row r="74" spans="1:55" x14ac:dyDescent="0.2">
      <c r="A74" s="576"/>
      <c r="B74" s="98"/>
      <c r="C74" s="98"/>
      <c r="D74" s="98"/>
      <c r="E74" s="576"/>
      <c r="F74" s="576"/>
      <c r="G74" s="576"/>
      <c r="H74" s="576"/>
      <c r="I74" s="576"/>
      <c r="J74" s="576"/>
      <c r="K74" s="576"/>
      <c r="L74" s="576"/>
      <c r="M74" s="576"/>
      <c r="N74" s="576"/>
      <c r="O74" s="576"/>
      <c r="P74" s="576"/>
      <c r="Q74" s="576"/>
      <c r="R74" s="576"/>
      <c r="S74" s="576"/>
      <c r="T74" s="576"/>
      <c r="U74" s="576"/>
      <c r="V74" s="576"/>
      <c r="W74" s="576"/>
      <c r="X74" s="576"/>
      <c r="Y74" s="98"/>
      <c r="Z74" s="98"/>
      <c r="AA74" s="98"/>
      <c r="AB74" s="98"/>
      <c r="AC74" s="98"/>
      <c r="AD74" s="98"/>
      <c r="AE74" s="576"/>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7"/>
    </row>
    <row r="75" spans="1:55" x14ac:dyDescent="0.2">
      <c r="A75" s="576"/>
      <c r="B75" s="98"/>
      <c r="C75" s="98"/>
      <c r="D75" s="98"/>
      <c r="E75" s="576"/>
      <c r="F75" s="576"/>
      <c r="G75" s="576"/>
      <c r="H75" s="576"/>
      <c r="I75" s="576"/>
      <c r="J75" s="576"/>
      <c r="K75" s="576"/>
      <c r="L75" s="576"/>
      <c r="M75" s="576"/>
      <c r="N75" s="576"/>
      <c r="O75" s="576"/>
      <c r="P75" s="576"/>
      <c r="Q75" s="576"/>
      <c r="R75" s="576"/>
      <c r="S75" s="576"/>
      <c r="T75" s="576"/>
      <c r="U75" s="576"/>
      <c r="V75" s="576"/>
      <c r="W75" s="576"/>
      <c r="X75" s="576"/>
      <c r="Y75" s="98"/>
      <c r="Z75" s="98"/>
      <c r="AA75" s="98"/>
      <c r="AB75" s="98"/>
      <c r="AC75" s="98"/>
      <c r="AD75" s="98"/>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7"/>
    </row>
    <row r="76" spans="1:55" x14ac:dyDescent="0.2">
      <c r="A76" s="576"/>
      <c r="B76" s="98"/>
      <c r="C76" s="98"/>
      <c r="D76" s="98"/>
      <c r="E76" s="576"/>
      <c r="F76" s="576"/>
      <c r="G76" s="576"/>
      <c r="H76" s="576"/>
      <c r="I76" s="576"/>
      <c r="J76" s="576"/>
      <c r="K76" s="576"/>
      <c r="L76" s="576"/>
      <c r="M76" s="576"/>
      <c r="N76" s="576"/>
      <c r="O76" s="576"/>
      <c r="P76" s="576"/>
      <c r="Q76" s="576"/>
      <c r="R76" s="576"/>
      <c r="S76" s="576"/>
      <c r="T76" s="576"/>
      <c r="U76" s="576"/>
      <c r="V76" s="576"/>
      <c r="W76" s="576"/>
      <c r="X76" s="576"/>
      <c r="Y76" s="98"/>
      <c r="Z76" s="98"/>
      <c r="AA76" s="98"/>
      <c r="AB76" s="98"/>
      <c r="AC76" s="98"/>
      <c r="AD76" s="98"/>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7"/>
    </row>
    <row r="77" spans="1:55" x14ac:dyDescent="0.2">
      <c r="A77" s="576"/>
      <c r="B77" s="98"/>
      <c r="C77" s="98"/>
      <c r="D77" s="98"/>
      <c r="E77" s="576"/>
      <c r="F77" s="576"/>
      <c r="G77" s="576"/>
      <c r="H77" s="576"/>
      <c r="I77" s="576"/>
      <c r="J77" s="576"/>
      <c r="K77" s="576"/>
      <c r="L77" s="576"/>
      <c r="M77" s="576"/>
      <c r="N77" s="576"/>
      <c r="O77" s="576"/>
      <c r="P77" s="576"/>
      <c r="Q77" s="576"/>
      <c r="R77" s="576"/>
      <c r="S77" s="576"/>
      <c r="T77" s="576"/>
      <c r="U77" s="576"/>
      <c r="V77" s="576"/>
      <c r="W77" s="576"/>
      <c r="X77" s="576"/>
      <c r="Y77" s="98"/>
      <c r="Z77" s="98"/>
      <c r="AA77" s="98"/>
      <c r="AB77" s="98"/>
      <c r="AC77" s="98"/>
      <c r="AD77" s="98"/>
      <c r="AE77" s="576"/>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7"/>
    </row>
    <row r="78" spans="1:55" x14ac:dyDescent="0.2">
      <c r="A78" s="576"/>
      <c r="B78" s="98"/>
      <c r="C78" s="98"/>
      <c r="D78" s="98"/>
      <c r="E78" s="576"/>
      <c r="F78" s="576"/>
      <c r="G78" s="576"/>
      <c r="H78" s="576"/>
      <c r="I78" s="576"/>
      <c r="J78" s="576"/>
      <c r="K78" s="576"/>
      <c r="L78" s="576"/>
      <c r="M78" s="576"/>
      <c r="N78" s="576"/>
      <c r="O78" s="576"/>
      <c r="P78" s="576"/>
      <c r="Q78" s="576"/>
      <c r="R78" s="576"/>
      <c r="S78" s="576"/>
      <c r="T78" s="576"/>
      <c r="U78" s="576"/>
      <c r="V78" s="576"/>
      <c r="W78" s="576"/>
      <c r="X78" s="576"/>
      <c r="Y78" s="98"/>
      <c r="Z78" s="98"/>
      <c r="AA78" s="98"/>
      <c r="AB78" s="98"/>
      <c r="AC78" s="98"/>
      <c r="AD78" s="98"/>
      <c r="AE78" s="576"/>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7"/>
    </row>
    <row r="79" spans="1:55" x14ac:dyDescent="0.2">
      <c r="A79" s="576"/>
      <c r="B79" s="98"/>
      <c r="C79" s="98"/>
      <c r="D79" s="98"/>
      <c r="E79" s="576"/>
      <c r="F79" s="576"/>
      <c r="G79" s="576"/>
      <c r="H79" s="576"/>
      <c r="I79" s="576"/>
      <c r="J79" s="576"/>
      <c r="K79" s="576"/>
      <c r="L79" s="576"/>
      <c r="M79" s="576"/>
      <c r="N79" s="576"/>
      <c r="O79" s="576"/>
      <c r="P79" s="576"/>
      <c r="Q79" s="576"/>
      <c r="R79" s="576"/>
      <c r="S79" s="576"/>
      <c r="T79" s="576"/>
      <c r="U79" s="576"/>
      <c r="V79" s="576"/>
      <c r="W79" s="576"/>
      <c r="X79" s="576"/>
      <c r="Y79" s="98"/>
      <c r="Z79" s="98"/>
      <c r="AA79" s="98"/>
      <c r="AB79" s="98"/>
      <c r="AC79" s="98"/>
      <c r="AD79" s="98"/>
      <c r="AE79" s="576"/>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7"/>
    </row>
    <row r="80" spans="1:55" x14ac:dyDescent="0.2">
      <c r="A80" s="576"/>
      <c r="B80" s="98"/>
      <c r="C80" s="98"/>
      <c r="D80" s="98"/>
      <c r="E80" s="576"/>
      <c r="F80" s="576"/>
      <c r="G80" s="576"/>
      <c r="H80" s="576"/>
      <c r="I80" s="576"/>
      <c r="J80" s="576"/>
      <c r="K80" s="576"/>
      <c r="L80" s="576"/>
      <c r="M80" s="576"/>
      <c r="N80" s="576"/>
      <c r="O80" s="576"/>
      <c r="P80" s="576"/>
      <c r="Q80" s="576"/>
      <c r="R80" s="576"/>
      <c r="S80" s="576"/>
      <c r="T80" s="576"/>
      <c r="U80" s="576"/>
      <c r="V80" s="576"/>
      <c r="W80" s="576"/>
      <c r="X80" s="576"/>
      <c r="Y80" s="98"/>
      <c r="Z80" s="98"/>
      <c r="AA80" s="98"/>
      <c r="AB80" s="98"/>
      <c r="AC80" s="98"/>
      <c r="AD80" s="98"/>
      <c r="AE80" s="576"/>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7"/>
    </row>
    <row r="81" spans="1:55" x14ac:dyDescent="0.2">
      <c r="A81" s="576"/>
      <c r="B81" s="98"/>
      <c r="C81" s="98"/>
      <c r="D81" s="98"/>
      <c r="E81" s="576"/>
      <c r="F81" s="576"/>
      <c r="G81" s="576"/>
      <c r="H81" s="576"/>
      <c r="I81" s="576"/>
      <c r="J81" s="576"/>
      <c r="K81" s="576"/>
      <c r="L81" s="576"/>
      <c r="M81" s="576"/>
      <c r="N81" s="576"/>
      <c r="O81" s="576"/>
      <c r="P81" s="576"/>
      <c r="Q81" s="576"/>
      <c r="R81" s="576"/>
      <c r="S81" s="576"/>
      <c r="T81" s="576"/>
      <c r="U81" s="576"/>
      <c r="V81" s="576"/>
      <c r="W81" s="576"/>
      <c r="X81" s="576"/>
      <c r="Y81" s="98"/>
      <c r="Z81" s="98"/>
      <c r="AA81" s="98"/>
      <c r="AB81" s="98"/>
      <c r="AC81" s="98"/>
      <c r="AD81" s="98"/>
      <c r="AE81" s="576"/>
      <c r="AF81" s="576"/>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7"/>
    </row>
    <row r="82" spans="1:55" x14ac:dyDescent="0.2">
      <c r="A82" s="576"/>
      <c r="B82" s="98"/>
      <c r="C82" s="98"/>
      <c r="D82" s="98"/>
      <c r="E82" s="576"/>
      <c r="F82" s="576"/>
      <c r="G82" s="576"/>
      <c r="H82" s="576"/>
      <c r="I82" s="576"/>
      <c r="J82" s="576"/>
      <c r="K82" s="576"/>
      <c r="L82" s="576"/>
      <c r="M82" s="576"/>
      <c r="N82" s="576"/>
      <c r="O82" s="576"/>
      <c r="P82" s="576"/>
      <c r="Q82" s="576"/>
      <c r="R82" s="576"/>
      <c r="S82" s="576"/>
      <c r="T82" s="576"/>
      <c r="U82" s="576"/>
      <c r="V82" s="576"/>
      <c r="W82" s="576"/>
      <c r="X82" s="576"/>
      <c r="Y82" s="98"/>
      <c r="Z82" s="98"/>
      <c r="AA82" s="98"/>
      <c r="AB82" s="98"/>
      <c r="AC82" s="98"/>
      <c r="AD82" s="98"/>
      <c r="AE82" s="576"/>
      <c r="AF82" s="576"/>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7"/>
    </row>
    <row r="83" spans="1:55" x14ac:dyDescent="0.2">
      <c r="A83" s="576"/>
      <c r="B83" s="98"/>
      <c r="C83" s="98"/>
      <c r="D83" s="98"/>
      <c r="E83" s="576"/>
      <c r="F83" s="576"/>
      <c r="G83" s="576"/>
      <c r="H83" s="576"/>
      <c r="I83" s="576"/>
      <c r="J83" s="576"/>
      <c r="K83" s="576"/>
      <c r="L83" s="576"/>
      <c r="M83" s="576"/>
      <c r="N83" s="576"/>
      <c r="O83" s="576"/>
      <c r="P83" s="576"/>
      <c r="Q83" s="576"/>
      <c r="R83" s="576"/>
      <c r="S83" s="576"/>
      <c r="T83" s="576"/>
      <c r="U83" s="576"/>
      <c r="V83" s="576"/>
      <c r="W83" s="576"/>
      <c r="X83" s="576"/>
      <c r="Y83" s="98"/>
      <c r="Z83" s="98"/>
      <c r="AA83" s="98"/>
      <c r="AB83" s="98"/>
      <c r="AC83" s="98"/>
      <c r="AD83" s="98"/>
      <c r="AE83" s="576"/>
      <c r="AF83" s="576"/>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7"/>
    </row>
    <row r="84" spans="1:55" x14ac:dyDescent="0.2">
      <c r="A84" s="576"/>
      <c r="B84" s="98"/>
      <c r="C84" s="98"/>
      <c r="D84" s="98"/>
      <c r="E84" s="576"/>
      <c r="F84" s="576"/>
      <c r="G84" s="576"/>
      <c r="H84" s="576"/>
      <c r="I84" s="576"/>
      <c r="J84" s="576"/>
      <c r="K84" s="576"/>
      <c r="L84" s="576"/>
      <c r="M84" s="576"/>
      <c r="N84" s="576"/>
      <c r="O84" s="576"/>
      <c r="P84" s="576"/>
      <c r="Q84" s="576"/>
      <c r="R84" s="576"/>
      <c r="S84" s="576"/>
      <c r="T84" s="576"/>
      <c r="U84" s="576"/>
      <c r="V84" s="576"/>
      <c r="W84" s="576"/>
      <c r="X84" s="576"/>
      <c r="Y84" s="98"/>
      <c r="Z84" s="98"/>
      <c r="AA84" s="98"/>
      <c r="AB84" s="98"/>
      <c r="AC84" s="98"/>
      <c r="AD84" s="98"/>
      <c r="AE84" s="576"/>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7"/>
    </row>
    <row r="85" spans="1:55" x14ac:dyDescent="0.2">
      <c r="A85" s="576"/>
      <c r="B85" s="98"/>
      <c r="C85" s="98"/>
      <c r="D85" s="98"/>
      <c r="E85" s="576"/>
      <c r="F85" s="576"/>
      <c r="G85" s="576"/>
      <c r="H85" s="576"/>
      <c r="I85" s="576"/>
      <c r="J85" s="576"/>
      <c r="K85" s="576"/>
      <c r="L85" s="576"/>
      <c r="M85" s="576"/>
      <c r="N85" s="576"/>
      <c r="O85" s="576"/>
      <c r="P85" s="576"/>
      <c r="Q85" s="576"/>
      <c r="R85" s="576"/>
      <c r="S85" s="576"/>
      <c r="T85" s="576"/>
      <c r="U85" s="576"/>
      <c r="V85" s="576"/>
      <c r="W85" s="576"/>
      <c r="X85" s="576"/>
      <c r="Y85" s="98"/>
      <c r="Z85" s="98"/>
      <c r="AA85" s="98"/>
      <c r="AB85" s="98"/>
      <c r="AC85" s="98"/>
      <c r="AD85" s="98"/>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7"/>
    </row>
    <row r="86" spans="1:55" x14ac:dyDescent="0.2">
      <c r="A86" s="579"/>
      <c r="B86" s="100"/>
      <c r="C86" s="100"/>
      <c r="D86" s="100"/>
      <c r="E86" s="579"/>
      <c r="F86" s="579"/>
      <c r="G86" s="579"/>
      <c r="H86" s="579"/>
      <c r="I86" s="579"/>
      <c r="J86" s="579"/>
      <c r="K86" s="579"/>
      <c r="L86" s="579"/>
      <c r="M86" s="579"/>
      <c r="N86" s="579"/>
      <c r="O86" s="579"/>
      <c r="P86" s="579"/>
      <c r="Q86" s="579"/>
      <c r="R86" s="579"/>
      <c r="S86" s="579"/>
      <c r="T86" s="579"/>
      <c r="U86" s="579"/>
      <c r="V86" s="579"/>
      <c r="W86" s="579"/>
      <c r="X86" s="579"/>
      <c r="Y86" s="100"/>
      <c r="Z86" s="100"/>
      <c r="AA86" s="100"/>
      <c r="AB86" s="100"/>
      <c r="AC86" s="100"/>
      <c r="AD86" s="100"/>
      <c r="AE86" s="579"/>
      <c r="AF86" s="579"/>
      <c r="AG86" s="579"/>
      <c r="AH86" s="579"/>
      <c r="AI86" s="579"/>
      <c r="AJ86" s="579"/>
      <c r="AK86" s="579"/>
      <c r="AL86" s="579"/>
      <c r="AM86" s="579"/>
      <c r="AN86" s="579"/>
      <c r="AO86" s="579"/>
      <c r="AP86" s="579"/>
      <c r="AQ86" s="579"/>
      <c r="AR86" s="579"/>
      <c r="AS86" s="579"/>
      <c r="AT86" s="579"/>
      <c r="AU86" s="579"/>
      <c r="AV86" s="579"/>
      <c r="AW86" s="579"/>
      <c r="AX86" s="579"/>
      <c r="AY86" s="579"/>
      <c r="AZ86" s="579"/>
      <c r="BA86" s="579"/>
      <c r="BB86" s="579"/>
      <c r="BC86" s="580"/>
    </row>
  </sheetData>
  <sheetProtection algorithmName="SHA-512" hashValue="u0eDa+WRNyxiHeIkUqHpOOtF6OhBZ9uLTaj/QmrV5mISv0ewYR+fEW3SjU5xrbq9qFva/dySmn4PIXbw5V/YgA==" saltValue="LlHGOw+SSnaWDBx35T6alw==" spinCount="100000" sheet="1" selectLockedCells="1"/>
  <dataConsolidate link="1"/>
  <mergeCells count="4">
    <mergeCell ref="Z7:Z18"/>
    <mergeCell ref="B7:B10"/>
    <mergeCell ref="B11:B14"/>
    <mergeCell ref="B15:B18"/>
  </mergeCells>
  <conditionalFormatting sqref="E4:X4 E7:X18">
    <cfRule type="notContainsBlanks" dxfId="3" priority="1">
      <formula>LEN(TRIM(E4))&gt;0</formula>
    </cfRule>
  </conditionalFormatting>
  <dataValidations count="1">
    <dataValidation type="whole" allowBlank="1" showInputMessage="1" showErrorMessage="1" errorTitle="Attenzione" error="Il servizio deve avere una durata minima di 1 mese e una durata massima di 48 mesi" sqref="E4:X4" xr:uid="{00000000-0002-0000-1A00-000000000000}">
      <formula1>1</formula1>
      <formula2>48</formula2>
    </dataValidation>
  </dataValidations>
  <pageMargins left="0.7" right="0.7" top="0.75" bottom="0.75" header="0.3" footer="0.3"/>
  <pageSetup paperSize="8"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3"/>
  <dimension ref="A1:BC86"/>
  <sheetViews>
    <sheetView zoomScaleNormal="100" workbookViewId="0">
      <pane xSplit="4" ySplit="6" topLeftCell="E7" activePane="bottomRight" state="frozen"/>
      <selection pane="topRight" activeCell="E1" sqref="E1"/>
      <selection pane="bottomLeft" activeCell="A7" sqref="A7"/>
      <selection pane="bottomRight" activeCell="E11" sqref="E11"/>
    </sheetView>
  </sheetViews>
  <sheetFormatPr defaultColWidth="9.140625" defaultRowHeight="11.25" x14ac:dyDescent="0.2"/>
  <cols>
    <col min="1" max="1" width="0.5703125" style="573" customWidth="1"/>
    <col min="2" max="2" width="10.140625" style="99" customWidth="1"/>
    <col min="3" max="3" width="29" style="99" customWidth="1"/>
    <col min="4" max="4" width="14.28515625" style="99" bestFit="1" customWidth="1"/>
    <col min="5" max="24" width="10.42578125" style="573" customWidth="1"/>
    <col min="25" max="25" width="12.42578125" style="99" bestFit="1" customWidth="1"/>
    <col min="26" max="26" width="5.140625" style="99" bestFit="1" customWidth="1"/>
    <col min="27" max="27" width="7.5703125" style="99" bestFit="1" customWidth="1"/>
    <col min="28" max="28" width="12.28515625" style="99" bestFit="1" customWidth="1"/>
    <col min="29" max="29" width="7.5703125" style="99" bestFit="1" customWidth="1"/>
    <col min="30" max="30" width="12.28515625" style="99" bestFit="1" customWidth="1"/>
    <col min="31" max="16384" width="9.140625" style="573"/>
  </cols>
  <sheetData>
    <row r="1" spans="1:55" ht="12" thickBot="1" x14ac:dyDescent="0.25"/>
    <row r="2" spans="1:55" s="338" customFormat="1" ht="12.75" thickBot="1" x14ac:dyDescent="0.3">
      <c r="E2" s="263" t="s">
        <v>308</v>
      </c>
      <c r="F2" s="263" t="s">
        <v>309</v>
      </c>
      <c r="G2" s="263" t="s">
        <v>310</v>
      </c>
      <c r="H2" s="263" t="s">
        <v>311</v>
      </c>
      <c r="I2" s="263" t="s">
        <v>312</v>
      </c>
      <c r="J2" s="263" t="s">
        <v>313</v>
      </c>
      <c r="K2" s="263" t="s">
        <v>314</v>
      </c>
      <c r="L2" s="263" t="s">
        <v>315</v>
      </c>
      <c r="M2" s="263" t="s">
        <v>316</v>
      </c>
      <c r="N2" s="263" t="s">
        <v>317</v>
      </c>
      <c r="O2" s="263" t="s">
        <v>318</v>
      </c>
      <c r="P2" s="263" t="s">
        <v>319</v>
      </c>
      <c r="Q2" s="263" t="s">
        <v>320</v>
      </c>
      <c r="R2" s="263" t="s">
        <v>321</v>
      </c>
      <c r="S2" s="263" t="s">
        <v>322</v>
      </c>
      <c r="T2" s="263" t="s">
        <v>323</v>
      </c>
      <c r="U2" s="263" t="s">
        <v>324</v>
      </c>
      <c r="V2" s="263" t="s">
        <v>325</v>
      </c>
      <c r="W2" s="263" t="s">
        <v>326</v>
      </c>
      <c r="X2" s="263" t="s">
        <v>327</v>
      </c>
    </row>
    <row r="3" spans="1:55" s="99" customFormat="1" ht="24.75" thickBot="1" x14ac:dyDescent="0.25">
      <c r="D3" s="124" t="s">
        <v>1170</v>
      </c>
      <c r="E3" s="487" t="str">
        <f>IF('Elenco immobili'!$C$4="","",'Elenco immobili'!$C$4)</f>
        <v>Sede ICE-AGID</v>
      </c>
      <c r="F3" s="487" t="str">
        <f>IF('Elenco immobili'!$C$5="","",'Elenco immobili'!$C$5)</f>
        <v/>
      </c>
      <c r="G3" s="487" t="str">
        <f>IF('Elenco immobili'!$C$6="","",'Elenco immobili'!$C$6)</f>
        <v/>
      </c>
      <c r="H3" s="487" t="str">
        <f>IF('Elenco immobili'!$C$7="","",'Elenco immobili'!$C$7)</f>
        <v/>
      </c>
      <c r="I3" s="487" t="str">
        <f>IF('Elenco immobili'!$C$8="","",'Elenco immobili'!$C$8)</f>
        <v/>
      </c>
      <c r="J3" s="487" t="str">
        <f>IF('Elenco immobili'!$C$9="","",'Elenco immobili'!$C$9)</f>
        <v/>
      </c>
      <c r="K3" s="487" t="str">
        <f>IF('Elenco immobili'!$C$10="","",'Elenco immobili'!$C$10)</f>
        <v/>
      </c>
      <c r="L3" s="487" t="str">
        <f>IF('Elenco immobili'!$C$11="","",'Elenco immobili'!$C$11)</f>
        <v/>
      </c>
      <c r="M3" s="487" t="str">
        <f>IF('Elenco immobili'!$C$12="","",'Elenco immobili'!$C$12)</f>
        <v/>
      </c>
      <c r="N3" s="487" t="str">
        <f>IF('Elenco immobili'!$C$13="","",'Elenco immobili'!$C$13)</f>
        <v/>
      </c>
      <c r="O3" s="487" t="str">
        <f>IF('Elenco immobili'!$C$14="","",'Elenco immobili'!$C$14)</f>
        <v/>
      </c>
      <c r="P3" s="487" t="str">
        <f>IF('Elenco immobili'!$C$15="","",'Elenco immobili'!$C$15)</f>
        <v/>
      </c>
      <c r="Q3" s="487" t="str">
        <f>IF('Elenco immobili'!$C$16="","",'Elenco immobili'!$C$16)</f>
        <v/>
      </c>
      <c r="R3" s="487" t="str">
        <f>IF('Elenco immobili'!$C$17="","",'Elenco immobili'!$C$17)</f>
        <v/>
      </c>
      <c r="S3" s="487" t="str">
        <f>IF('Elenco immobili'!$C$18="","",'Elenco immobili'!$C$18)</f>
        <v/>
      </c>
      <c r="T3" s="487" t="str">
        <f>IF('Elenco immobili'!$C$19="","",'Elenco immobili'!$C$19)</f>
        <v/>
      </c>
      <c r="U3" s="487" t="str">
        <f>IF('Elenco immobili'!$C$20="","",'Elenco immobili'!$C$20)</f>
        <v/>
      </c>
      <c r="V3" s="487" t="str">
        <f>IF('Elenco immobili'!$C$21="","",'Elenco immobili'!$C$21)</f>
        <v/>
      </c>
      <c r="W3" s="487" t="str">
        <f>IF('Elenco immobili'!$C$22="","",'Elenco immobili'!$C$22)</f>
        <v/>
      </c>
      <c r="X3" s="487" t="str">
        <f>IF('Elenco immobili'!$C$23="","",'Elenco immobili'!$C$23)</f>
        <v/>
      </c>
    </row>
    <row r="4" spans="1:55" ht="13.5" thickBot="1" x14ac:dyDescent="0.25">
      <c r="B4" s="105" t="s">
        <v>1130</v>
      </c>
      <c r="D4" s="125" t="s">
        <v>328</v>
      </c>
      <c r="E4" s="574">
        <v>48</v>
      </c>
      <c r="F4" s="574"/>
      <c r="G4" s="574"/>
      <c r="H4" s="574"/>
      <c r="I4" s="574"/>
      <c r="J4" s="574"/>
      <c r="K4" s="574"/>
      <c r="L4" s="574"/>
      <c r="M4" s="574"/>
      <c r="N4" s="574"/>
      <c r="O4" s="574"/>
      <c r="P4" s="574"/>
      <c r="Q4" s="574"/>
      <c r="R4" s="574"/>
      <c r="S4" s="574"/>
      <c r="T4" s="574"/>
      <c r="U4" s="574"/>
      <c r="V4" s="574"/>
      <c r="W4" s="574"/>
      <c r="X4" s="574"/>
    </row>
    <row r="5" spans="1:55" ht="3" customHeight="1" thickBot="1" x14ac:dyDescent="0.25">
      <c r="E5" s="102"/>
      <c r="F5" s="102"/>
      <c r="G5" s="102"/>
      <c r="H5" s="102"/>
      <c r="I5" s="102"/>
      <c r="J5" s="102"/>
      <c r="K5" s="102"/>
      <c r="L5" s="102"/>
      <c r="M5" s="102"/>
      <c r="N5" s="102"/>
      <c r="O5" s="102"/>
      <c r="P5" s="102"/>
      <c r="Q5" s="102"/>
      <c r="R5" s="102"/>
      <c r="S5" s="102"/>
      <c r="T5" s="102"/>
      <c r="U5" s="102"/>
      <c r="V5" s="102"/>
      <c r="W5" s="102"/>
      <c r="X5" s="102"/>
    </row>
    <row r="6" spans="1:55" s="99" customFormat="1" ht="57" thickBot="1" x14ac:dyDescent="0.25">
      <c r="A6" s="101"/>
      <c r="B6" s="123" t="s">
        <v>771</v>
      </c>
      <c r="C6" s="123" t="s">
        <v>253</v>
      </c>
      <c r="D6" s="123" t="s">
        <v>1174</v>
      </c>
      <c r="E6" s="588" t="s">
        <v>1164</v>
      </c>
      <c r="F6" s="588" t="s">
        <v>1164</v>
      </c>
      <c r="G6" s="588" t="s">
        <v>1164</v>
      </c>
      <c r="H6" s="588" t="s">
        <v>1164</v>
      </c>
      <c r="I6" s="588" t="s">
        <v>1164</v>
      </c>
      <c r="J6" s="588" t="s">
        <v>1164</v>
      </c>
      <c r="K6" s="588" t="s">
        <v>1164</v>
      </c>
      <c r="L6" s="588" t="s">
        <v>1164</v>
      </c>
      <c r="M6" s="588" t="s">
        <v>1164</v>
      </c>
      <c r="N6" s="588" t="s">
        <v>1164</v>
      </c>
      <c r="O6" s="588" t="s">
        <v>1164</v>
      </c>
      <c r="P6" s="588" t="s">
        <v>1164</v>
      </c>
      <c r="Q6" s="588" t="s">
        <v>1164</v>
      </c>
      <c r="R6" s="588" t="s">
        <v>1164</v>
      </c>
      <c r="S6" s="588" t="s">
        <v>1164</v>
      </c>
      <c r="T6" s="588" t="s">
        <v>1164</v>
      </c>
      <c r="U6" s="588" t="s">
        <v>1164</v>
      </c>
      <c r="V6" s="588" t="s">
        <v>1164</v>
      </c>
      <c r="W6" s="588" t="s">
        <v>1164</v>
      </c>
      <c r="X6" s="588" t="s">
        <v>1164</v>
      </c>
      <c r="Y6" s="127" t="s">
        <v>1187</v>
      </c>
      <c r="Z6" s="128" t="s">
        <v>51</v>
      </c>
      <c r="AA6" s="128" t="s">
        <v>143</v>
      </c>
      <c r="AB6" s="128" t="s">
        <v>1188</v>
      </c>
      <c r="AC6" s="128" t="s">
        <v>160</v>
      </c>
      <c r="AD6" s="128" t="s">
        <v>1189</v>
      </c>
      <c r="AE6" s="98"/>
      <c r="AF6" s="98"/>
      <c r="AG6" s="98"/>
      <c r="AH6" s="98"/>
      <c r="AI6" s="98"/>
      <c r="AJ6" s="98"/>
      <c r="AK6" s="98"/>
      <c r="AL6" s="98"/>
      <c r="AM6" s="98"/>
      <c r="AN6" s="98"/>
      <c r="AO6" s="98"/>
      <c r="AP6" s="98"/>
      <c r="AQ6" s="98"/>
      <c r="AR6" s="98"/>
      <c r="AS6" s="98"/>
      <c r="AT6" s="98"/>
      <c r="AU6" s="98"/>
      <c r="AV6" s="98"/>
      <c r="AW6" s="98"/>
      <c r="AX6" s="98"/>
      <c r="AY6" s="98"/>
      <c r="AZ6" s="98"/>
      <c r="BA6" s="98"/>
      <c r="BB6" s="98"/>
      <c r="BC6" s="96"/>
    </row>
    <row r="7" spans="1:55" ht="23.25" thickBot="1" x14ac:dyDescent="0.25">
      <c r="A7" s="575"/>
      <c r="B7" s="978" t="s">
        <v>1131</v>
      </c>
      <c r="C7" s="542" t="s">
        <v>1281</v>
      </c>
      <c r="D7" s="303" t="s">
        <v>773</v>
      </c>
      <c r="E7" s="849">
        <f>130+737</f>
        <v>867</v>
      </c>
      <c r="F7" s="454"/>
      <c r="G7" s="454"/>
      <c r="H7" s="454"/>
      <c r="I7" s="454"/>
      <c r="J7" s="454"/>
      <c r="K7" s="454"/>
      <c r="L7" s="454"/>
      <c r="M7" s="454"/>
      <c r="N7" s="454"/>
      <c r="O7" s="454"/>
      <c r="P7" s="454"/>
      <c r="Q7" s="454"/>
      <c r="R7" s="454"/>
      <c r="S7" s="454"/>
      <c r="T7" s="454"/>
      <c r="U7" s="454"/>
      <c r="V7" s="454"/>
      <c r="W7" s="454"/>
      <c r="X7" s="454"/>
      <c r="Y7" s="785">
        <v>20.58</v>
      </c>
      <c r="Z7" s="1015" t="s">
        <v>8</v>
      </c>
      <c r="AA7" s="773">
        <f>'Ribassi PE'!$K$37</f>
        <v>7.0000000000000007E-2</v>
      </c>
      <c r="AB7" s="132">
        <f t="shared" ref="AB7:AB18" si="0">ROUND(Y7*(1-AA7),3)</f>
        <v>19.138999999999999</v>
      </c>
      <c r="AC7" s="133">
        <f>'Ribassi PE'!$M$37</f>
        <v>0.21</v>
      </c>
      <c r="AD7" s="132">
        <f t="shared" ref="AD7:AD18" si="1">ROUND(Y7*(1-AC7),3)</f>
        <v>16.257999999999999</v>
      </c>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7"/>
    </row>
    <row r="8" spans="1:55" ht="23.25" thickBot="1" x14ac:dyDescent="0.25">
      <c r="A8" s="575"/>
      <c r="B8" s="979"/>
      <c r="C8" s="757" t="s">
        <v>1282</v>
      </c>
      <c r="D8" s="763" t="s">
        <v>773</v>
      </c>
      <c r="E8" s="859"/>
      <c r="F8" s="461"/>
      <c r="G8" s="461"/>
      <c r="H8" s="461"/>
      <c r="I8" s="461"/>
      <c r="J8" s="461"/>
      <c r="K8" s="461"/>
      <c r="L8" s="461"/>
      <c r="M8" s="461"/>
      <c r="N8" s="461"/>
      <c r="O8" s="461"/>
      <c r="P8" s="461"/>
      <c r="Q8" s="461"/>
      <c r="R8" s="461"/>
      <c r="S8" s="461"/>
      <c r="T8" s="461"/>
      <c r="U8" s="461"/>
      <c r="V8" s="461"/>
      <c r="W8" s="461"/>
      <c r="X8" s="461"/>
      <c r="Y8" s="786">
        <f>Y7*1.3</f>
        <v>26.753999999999998</v>
      </c>
      <c r="Z8" s="1016"/>
      <c r="AA8" s="774">
        <f>'Ribassi PE'!$K$37</f>
        <v>7.0000000000000007E-2</v>
      </c>
      <c r="AB8" s="136">
        <f t="shared" ref="AB8:AB10" si="2">ROUND(Y8*(1-AA8),3)</f>
        <v>24.881</v>
      </c>
      <c r="AC8" s="135">
        <f>'Ribassi PE'!$M$37</f>
        <v>0.21</v>
      </c>
      <c r="AD8" s="136">
        <f t="shared" ref="AD8:AD10" si="3">ROUND(Y8*(1-AC8),3)</f>
        <v>21.135999999999999</v>
      </c>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7"/>
    </row>
    <row r="9" spans="1:55" ht="23.25" thickBot="1" x14ac:dyDescent="0.25">
      <c r="A9" s="575"/>
      <c r="B9" s="979"/>
      <c r="C9" s="757" t="s">
        <v>1283</v>
      </c>
      <c r="D9" s="763" t="s">
        <v>773</v>
      </c>
      <c r="E9" s="859"/>
      <c r="F9" s="461"/>
      <c r="G9" s="461"/>
      <c r="H9" s="461"/>
      <c r="I9" s="461"/>
      <c r="J9" s="461"/>
      <c r="K9" s="461"/>
      <c r="L9" s="461"/>
      <c r="M9" s="461"/>
      <c r="N9" s="461"/>
      <c r="O9" s="461"/>
      <c r="P9" s="461"/>
      <c r="Q9" s="461"/>
      <c r="R9" s="461"/>
      <c r="S9" s="461"/>
      <c r="T9" s="461"/>
      <c r="U9" s="461"/>
      <c r="V9" s="461"/>
      <c r="W9" s="461"/>
      <c r="X9" s="461"/>
      <c r="Y9" s="786">
        <f>Y7*1.65</f>
        <v>33.956999999999994</v>
      </c>
      <c r="Z9" s="1016"/>
      <c r="AA9" s="774">
        <f>'Ribassi PE'!$K$37</f>
        <v>7.0000000000000007E-2</v>
      </c>
      <c r="AB9" s="136">
        <f t="shared" si="2"/>
        <v>31.58</v>
      </c>
      <c r="AC9" s="135">
        <f>'Ribassi PE'!$M$37</f>
        <v>0.21</v>
      </c>
      <c r="AD9" s="136">
        <f t="shared" si="3"/>
        <v>26.826000000000001</v>
      </c>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7"/>
    </row>
    <row r="10" spans="1:55" ht="23.25" thickBot="1" x14ac:dyDescent="0.25">
      <c r="A10" s="575"/>
      <c r="B10" s="1090"/>
      <c r="C10" s="768" t="s">
        <v>1284</v>
      </c>
      <c r="D10" s="769" t="s">
        <v>773</v>
      </c>
      <c r="E10" s="848"/>
      <c r="F10" s="760"/>
      <c r="G10" s="760"/>
      <c r="H10" s="760"/>
      <c r="I10" s="760"/>
      <c r="J10" s="760"/>
      <c r="K10" s="760"/>
      <c r="L10" s="760"/>
      <c r="M10" s="760"/>
      <c r="N10" s="760"/>
      <c r="O10" s="760"/>
      <c r="P10" s="760"/>
      <c r="Q10" s="760"/>
      <c r="R10" s="760"/>
      <c r="S10" s="760"/>
      <c r="T10" s="760"/>
      <c r="U10" s="760"/>
      <c r="V10" s="760"/>
      <c r="W10" s="760"/>
      <c r="X10" s="760"/>
      <c r="Y10" s="787">
        <f>Y7*1.75</f>
        <v>36.015000000000001</v>
      </c>
      <c r="Z10" s="1016"/>
      <c r="AA10" s="775">
        <f>'Ribassi PE'!$K$37</f>
        <v>7.0000000000000007E-2</v>
      </c>
      <c r="AB10" s="139">
        <f t="shared" si="2"/>
        <v>33.494</v>
      </c>
      <c r="AC10" s="138">
        <f>'Ribassi PE'!$M$37</f>
        <v>0.21</v>
      </c>
      <c r="AD10" s="139">
        <f t="shared" si="3"/>
        <v>28.452000000000002</v>
      </c>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7"/>
    </row>
    <row r="11" spans="1:55" ht="23.25" thickBot="1" x14ac:dyDescent="0.25">
      <c r="A11" s="575"/>
      <c r="B11" s="978" t="s">
        <v>1132</v>
      </c>
      <c r="C11" s="542" t="s">
        <v>1285</v>
      </c>
      <c r="D11" s="303" t="s">
        <v>773</v>
      </c>
      <c r="E11" s="849">
        <v>130</v>
      </c>
      <c r="F11" s="454"/>
      <c r="G11" s="454"/>
      <c r="H11" s="454"/>
      <c r="I11" s="454"/>
      <c r="J11" s="454"/>
      <c r="K11" s="454"/>
      <c r="L11" s="454"/>
      <c r="M11" s="454"/>
      <c r="N11" s="454"/>
      <c r="O11" s="454"/>
      <c r="P11" s="454"/>
      <c r="Q11" s="454"/>
      <c r="R11" s="454"/>
      <c r="S11" s="454"/>
      <c r="T11" s="454"/>
      <c r="U11" s="454"/>
      <c r="V11" s="454"/>
      <c r="W11" s="454"/>
      <c r="X11" s="454"/>
      <c r="Y11" s="265">
        <v>21.61</v>
      </c>
      <c r="Z11" s="1016"/>
      <c r="AA11" s="778">
        <f>'Ribassi PE'!$K$37</f>
        <v>7.0000000000000007E-2</v>
      </c>
      <c r="AB11" s="250">
        <f t="shared" si="0"/>
        <v>20.097000000000001</v>
      </c>
      <c r="AC11" s="249">
        <f>'Ribassi PE'!$M$37</f>
        <v>0.21</v>
      </c>
      <c r="AD11" s="250">
        <f t="shared" si="1"/>
        <v>17.071999999999999</v>
      </c>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7"/>
    </row>
    <row r="12" spans="1:55" ht="23.25" thickBot="1" x14ac:dyDescent="0.25">
      <c r="A12" s="575"/>
      <c r="B12" s="979"/>
      <c r="C12" s="755" t="s">
        <v>1286</v>
      </c>
      <c r="D12" s="765" t="s">
        <v>773</v>
      </c>
      <c r="E12" s="858"/>
      <c r="F12" s="460"/>
      <c r="G12" s="460"/>
      <c r="H12" s="460"/>
      <c r="I12" s="460"/>
      <c r="J12" s="460"/>
      <c r="K12" s="460"/>
      <c r="L12" s="460"/>
      <c r="M12" s="460"/>
      <c r="N12" s="460"/>
      <c r="O12" s="460"/>
      <c r="P12" s="460"/>
      <c r="Q12" s="460"/>
      <c r="R12" s="460"/>
      <c r="S12" s="460"/>
      <c r="T12" s="460"/>
      <c r="U12" s="460"/>
      <c r="V12" s="460"/>
      <c r="W12" s="460"/>
      <c r="X12" s="460"/>
      <c r="Y12" s="247">
        <f>Y11*1.3</f>
        <v>28.093</v>
      </c>
      <c r="Z12" s="1016"/>
      <c r="AA12" s="774">
        <f>'Ribassi PE'!$K$37</f>
        <v>7.0000000000000007E-2</v>
      </c>
      <c r="AB12" s="136">
        <f t="shared" ref="AB12:AB17" si="4">ROUND(Y12*(1-AA12),3)</f>
        <v>26.126000000000001</v>
      </c>
      <c r="AC12" s="135">
        <f>'Ribassi PE'!$M$37</f>
        <v>0.21</v>
      </c>
      <c r="AD12" s="136">
        <f t="shared" ref="AD12:AD17" si="5">ROUND(Y12*(1-AC12),3)</f>
        <v>22.193000000000001</v>
      </c>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7"/>
    </row>
    <row r="13" spans="1:55" ht="23.25" thickBot="1" x14ac:dyDescent="0.25">
      <c r="A13" s="575"/>
      <c r="B13" s="979"/>
      <c r="C13" s="755" t="s">
        <v>1287</v>
      </c>
      <c r="D13" s="765" t="s">
        <v>773</v>
      </c>
      <c r="E13" s="858"/>
      <c r="F13" s="460"/>
      <c r="G13" s="460"/>
      <c r="H13" s="460"/>
      <c r="I13" s="460"/>
      <c r="J13" s="460"/>
      <c r="K13" s="460"/>
      <c r="L13" s="460"/>
      <c r="M13" s="460"/>
      <c r="N13" s="460"/>
      <c r="O13" s="460"/>
      <c r="P13" s="460"/>
      <c r="Q13" s="460"/>
      <c r="R13" s="460"/>
      <c r="S13" s="460"/>
      <c r="T13" s="460"/>
      <c r="U13" s="460"/>
      <c r="V13" s="460"/>
      <c r="W13" s="460"/>
      <c r="X13" s="460"/>
      <c r="Y13" s="247">
        <f>Y11*1.65</f>
        <v>35.656499999999994</v>
      </c>
      <c r="Z13" s="1016"/>
      <c r="AA13" s="774">
        <f>'Ribassi PE'!$K$37</f>
        <v>7.0000000000000007E-2</v>
      </c>
      <c r="AB13" s="136">
        <f t="shared" si="4"/>
        <v>33.161000000000001</v>
      </c>
      <c r="AC13" s="135">
        <f>'Ribassi PE'!$M$37</f>
        <v>0.21</v>
      </c>
      <c r="AD13" s="136">
        <f t="shared" si="5"/>
        <v>28.169</v>
      </c>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7"/>
    </row>
    <row r="14" spans="1:55" ht="23.25" thickBot="1" x14ac:dyDescent="0.25">
      <c r="A14" s="575"/>
      <c r="B14" s="1090"/>
      <c r="C14" s="544" t="s">
        <v>1288</v>
      </c>
      <c r="D14" s="301" t="s">
        <v>773</v>
      </c>
      <c r="E14" s="851"/>
      <c r="F14" s="456"/>
      <c r="G14" s="456"/>
      <c r="H14" s="456"/>
      <c r="I14" s="456"/>
      <c r="J14" s="456"/>
      <c r="K14" s="456"/>
      <c r="L14" s="456"/>
      <c r="M14" s="456"/>
      <c r="N14" s="456"/>
      <c r="O14" s="456"/>
      <c r="P14" s="456"/>
      <c r="Q14" s="456"/>
      <c r="R14" s="456"/>
      <c r="S14" s="456"/>
      <c r="T14" s="456"/>
      <c r="U14" s="456"/>
      <c r="V14" s="456"/>
      <c r="W14" s="456"/>
      <c r="X14" s="456"/>
      <c r="Y14" s="247">
        <f>Y11*1.75</f>
        <v>37.817499999999995</v>
      </c>
      <c r="Z14" s="1016"/>
      <c r="AA14" s="775">
        <f>'Ribassi PE'!$K$37</f>
        <v>7.0000000000000007E-2</v>
      </c>
      <c r="AB14" s="139">
        <f t="shared" si="4"/>
        <v>35.17</v>
      </c>
      <c r="AC14" s="138">
        <f>'Ribassi PE'!$M$37</f>
        <v>0.21</v>
      </c>
      <c r="AD14" s="139">
        <f t="shared" si="5"/>
        <v>29.876000000000001</v>
      </c>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7"/>
    </row>
    <row r="15" spans="1:55" ht="23.25" thickBot="1" x14ac:dyDescent="0.25">
      <c r="A15" s="575"/>
      <c r="B15" s="979" t="s">
        <v>1133</v>
      </c>
      <c r="C15" s="756" t="s">
        <v>1289</v>
      </c>
      <c r="D15" s="788" t="s">
        <v>773</v>
      </c>
      <c r="E15" s="857">
        <v>130</v>
      </c>
      <c r="F15" s="552"/>
      <c r="G15" s="552"/>
      <c r="H15" s="552"/>
      <c r="I15" s="552"/>
      <c r="J15" s="552"/>
      <c r="K15" s="552"/>
      <c r="L15" s="552"/>
      <c r="M15" s="552"/>
      <c r="N15" s="552"/>
      <c r="O15" s="552"/>
      <c r="P15" s="552"/>
      <c r="Q15" s="552"/>
      <c r="R15" s="552"/>
      <c r="S15" s="552"/>
      <c r="T15" s="552"/>
      <c r="U15" s="552"/>
      <c r="V15" s="552"/>
      <c r="W15" s="552"/>
      <c r="X15" s="552"/>
      <c r="Y15" s="247">
        <v>23.88</v>
      </c>
      <c r="Z15" s="1016"/>
      <c r="AA15" s="266">
        <f>'Ribassi PE'!$K$37</f>
        <v>7.0000000000000007E-2</v>
      </c>
      <c r="AB15" s="267">
        <f t="shared" si="4"/>
        <v>22.207999999999998</v>
      </c>
      <c r="AC15" s="266">
        <f>'Ribassi PE'!$M$37</f>
        <v>0.21</v>
      </c>
      <c r="AD15" s="267">
        <f t="shared" si="5"/>
        <v>18.864999999999998</v>
      </c>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7"/>
    </row>
    <row r="16" spans="1:55" ht="23.25" thickBot="1" x14ac:dyDescent="0.25">
      <c r="A16" s="575"/>
      <c r="B16" s="979"/>
      <c r="C16" s="755" t="s">
        <v>1290</v>
      </c>
      <c r="D16" s="765" t="s">
        <v>773</v>
      </c>
      <c r="E16" s="858"/>
      <c r="F16" s="460"/>
      <c r="G16" s="460"/>
      <c r="H16" s="460"/>
      <c r="I16" s="460"/>
      <c r="J16" s="460"/>
      <c r="K16" s="460"/>
      <c r="L16" s="460"/>
      <c r="M16" s="460"/>
      <c r="N16" s="460"/>
      <c r="O16" s="460"/>
      <c r="P16" s="460"/>
      <c r="Q16" s="460"/>
      <c r="R16" s="460"/>
      <c r="S16" s="460"/>
      <c r="T16" s="460"/>
      <c r="U16" s="460"/>
      <c r="V16" s="460"/>
      <c r="W16" s="460"/>
      <c r="X16" s="460"/>
      <c r="Y16" s="247">
        <f>Y15*1.3</f>
        <v>31.044</v>
      </c>
      <c r="Z16" s="1016"/>
      <c r="AA16" s="135">
        <f>'Ribassi PE'!$K$37</f>
        <v>7.0000000000000007E-2</v>
      </c>
      <c r="AB16" s="136">
        <f t="shared" si="4"/>
        <v>28.870999999999999</v>
      </c>
      <c r="AC16" s="135">
        <f>'Ribassi PE'!$M$37</f>
        <v>0.21</v>
      </c>
      <c r="AD16" s="136">
        <f t="shared" si="5"/>
        <v>24.524999999999999</v>
      </c>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7"/>
    </row>
    <row r="17" spans="1:55" ht="23.25" thickBot="1" x14ac:dyDescent="0.25">
      <c r="A17" s="575"/>
      <c r="B17" s="979"/>
      <c r="C17" s="755" t="s">
        <v>1291</v>
      </c>
      <c r="D17" s="765" t="s">
        <v>773</v>
      </c>
      <c r="E17" s="858"/>
      <c r="F17" s="460"/>
      <c r="G17" s="460"/>
      <c r="H17" s="460"/>
      <c r="I17" s="460"/>
      <c r="J17" s="460"/>
      <c r="K17" s="460"/>
      <c r="L17" s="460"/>
      <c r="M17" s="460"/>
      <c r="N17" s="460"/>
      <c r="O17" s="460"/>
      <c r="P17" s="460"/>
      <c r="Q17" s="460"/>
      <c r="R17" s="460"/>
      <c r="S17" s="460"/>
      <c r="T17" s="460"/>
      <c r="U17" s="460"/>
      <c r="V17" s="460"/>
      <c r="W17" s="460"/>
      <c r="X17" s="460"/>
      <c r="Y17" s="247">
        <f>Y15*1.65</f>
        <v>39.401999999999994</v>
      </c>
      <c r="Z17" s="1016"/>
      <c r="AA17" s="135">
        <f>'Ribassi PE'!$K$37</f>
        <v>7.0000000000000007E-2</v>
      </c>
      <c r="AB17" s="136">
        <f t="shared" si="4"/>
        <v>36.643999999999998</v>
      </c>
      <c r="AC17" s="135">
        <f>'Ribassi PE'!$M$37</f>
        <v>0.21</v>
      </c>
      <c r="AD17" s="136">
        <f t="shared" si="5"/>
        <v>31.128</v>
      </c>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7"/>
    </row>
    <row r="18" spans="1:55" ht="23.25" thickBot="1" x14ac:dyDescent="0.25">
      <c r="A18" s="578"/>
      <c r="B18" s="1090"/>
      <c r="C18" s="544" t="s">
        <v>1292</v>
      </c>
      <c r="D18" s="301" t="s">
        <v>773</v>
      </c>
      <c r="E18" s="851"/>
      <c r="F18" s="456"/>
      <c r="G18" s="456"/>
      <c r="H18" s="456"/>
      <c r="I18" s="456"/>
      <c r="J18" s="456"/>
      <c r="K18" s="456"/>
      <c r="L18" s="456"/>
      <c r="M18" s="456"/>
      <c r="N18" s="456"/>
      <c r="O18" s="456"/>
      <c r="P18" s="456"/>
      <c r="Q18" s="456"/>
      <c r="R18" s="456"/>
      <c r="S18" s="456"/>
      <c r="T18" s="456"/>
      <c r="U18" s="456"/>
      <c r="V18" s="456"/>
      <c r="W18" s="456"/>
      <c r="X18" s="456"/>
      <c r="Y18" s="137">
        <f>Y15*1.75</f>
        <v>41.79</v>
      </c>
      <c r="Z18" s="1017"/>
      <c r="AA18" s="138">
        <f>'Ribassi PE'!$K$37</f>
        <v>7.0000000000000007E-2</v>
      </c>
      <c r="AB18" s="139">
        <f t="shared" si="0"/>
        <v>38.865000000000002</v>
      </c>
      <c r="AC18" s="138">
        <f>'Ribassi PE'!$M$37</f>
        <v>0.21</v>
      </c>
      <c r="AD18" s="139">
        <f t="shared" si="1"/>
        <v>33.014000000000003</v>
      </c>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7"/>
    </row>
    <row r="19" spans="1:55" s="99" customFormat="1" ht="12.75" thickBot="1" x14ac:dyDescent="0.25">
      <c r="A19" s="98"/>
      <c r="B19" s="98"/>
      <c r="C19" s="98"/>
      <c r="D19" s="125" t="s">
        <v>329</v>
      </c>
      <c r="E19" s="126">
        <f>SUMPRODUCT(E7:E18,$Y$7:$Y$18)*E$4</f>
        <v>1140314.8799999999</v>
      </c>
      <c r="F19" s="126">
        <f t="shared" ref="F19:X19" si="6">SUMPRODUCT(F7:F18,$Y$7:$Y$18)*F$4</f>
        <v>0</v>
      </c>
      <c r="G19" s="126">
        <f t="shared" si="6"/>
        <v>0</v>
      </c>
      <c r="H19" s="126">
        <f t="shared" si="6"/>
        <v>0</v>
      </c>
      <c r="I19" s="126">
        <f t="shared" si="6"/>
        <v>0</v>
      </c>
      <c r="J19" s="126">
        <f t="shared" si="6"/>
        <v>0</v>
      </c>
      <c r="K19" s="126">
        <f t="shared" si="6"/>
        <v>0</v>
      </c>
      <c r="L19" s="126">
        <f t="shared" si="6"/>
        <v>0</v>
      </c>
      <c r="M19" s="126">
        <f t="shared" si="6"/>
        <v>0</v>
      </c>
      <c r="N19" s="126">
        <f t="shared" si="6"/>
        <v>0</v>
      </c>
      <c r="O19" s="126">
        <f t="shared" si="6"/>
        <v>0</v>
      </c>
      <c r="P19" s="126">
        <f t="shared" si="6"/>
        <v>0</v>
      </c>
      <c r="Q19" s="126">
        <f t="shared" si="6"/>
        <v>0</v>
      </c>
      <c r="R19" s="126">
        <f t="shared" si="6"/>
        <v>0</v>
      </c>
      <c r="S19" s="126">
        <f t="shared" si="6"/>
        <v>0</v>
      </c>
      <c r="T19" s="126">
        <f t="shared" si="6"/>
        <v>0</v>
      </c>
      <c r="U19" s="126">
        <f t="shared" si="6"/>
        <v>0</v>
      </c>
      <c r="V19" s="126">
        <f t="shared" si="6"/>
        <v>0</v>
      </c>
      <c r="W19" s="126">
        <f t="shared" si="6"/>
        <v>0</v>
      </c>
      <c r="X19" s="126">
        <f t="shared" si="6"/>
        <v>0</v>
      </c>
      <c r="Y19" s="97"/>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6"/>
    </row>
    <row r="20" spans="1:55" s="99" customFormat="1" ht="12.75" thickBot="1" x14ac:dyDescent="0.25">
      <c r="A20" s="98"/>
      <c r="B20" s="98"/>
      <c r="C20" s="98"/>
      <c r="D20" s="581" t="s">
        <v>330</v>
      </c>
      <c r="E20" s="201">
        <f>SUMPRODUCT(E7:E18,$AB$7:$AB$18)*E$4</f>
        <v>1060471.824</v>
      </c>
      <c r="F20" s="201">
        <f t="shared" ref="F20:X20" si="7">SUMPRODUCT(F7:F18,$AB$7:$AB$18)*F$4</f>
        <v>0</v>
      </c>
      <c r="G20" s="201">
        <f t="shared" si="7"/>
        <v>0</v>
      </c>
      <c r="H20" s="201">
        <f t="shared" si="7"/>
        <v>0</v>
      </c>
      <c r="I20" s="201">
        <f t="shared" si="7"/>
        <v>0</v>
      </c>
      <c r="J20" s="201">
        <f t="shared" si="7"/>
        <v>0</v>
      </c>
      <c r="K20" s="201">
        <f t="shared" si="7"/>
        <v>0</v>
      </c>
      <c r="L20" s="201">
        <f t="shared" si="7"/>
        <v>0</v>
      </c>
      <c r="M20" s="201">
        <f t="shared" si="7"/>
        <v>0</v>
      </c>
      <c r="N20" s="201">
        <f t="shared" si="7"/>
        <v>0</v>
      </c>
      <c r="O20" s="201">
        <f t="shared" si="7"/>
        <v>0</v>
      </c>
      <c r="P20" s="201">
        <f t="shared" si="7"/>
        <v>0</v>
      </c>
      <c r="Q20" s="201">
        <f t="shared" si="7"/>
        <v>0</v>
      </c>
      <c r="R20" s="201">
        <f t="shared" si="7"/>
        <v>0</v>
      </c>
      <c r="S20" s="201">
        <f t="shared" si="7"/>
        <v>0</v>
      </c>
      <c r="T20" s="201">
        <f t="shared" si="7"/>
        <v>0</v>
      </c>
      <c r="U20" s="201">
        <f t="shared" si="7"/>
        <v>0</v>
      </c>
      <c r="V20" s="201">
        <f t="shared" si="7"/>
        <v>0</v>
      </c>
      <c r="W20" s="201">
        <f t="shared" si="7"/>
        <v>0</v>
      </c>
      <c r="X20" s="202">
        <f t="shared" si="7"/>
        <v>0</v>
      </c>
      <c r="Y20" s="97"/>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6"/>
    </row>
    <row r="21" spans="1:55" s="99" customFormat="1" ht="12.75" thickBot="1" x14ac:dyDescent="0.25">
      <c r="A21" s="98"/>
      <c r="B21" s="98"/>
      <c r="C21" s="98"/>
      <c r="D21" s="581" t="s">
        <v>331</v>
      </c>
      <c r="E21" s="201">
        <f>SUMPRODUCT(E7:E18,$AD$7:$AD$18)*E$4</f>
        <v>900839.80799999996</v>
      </c>
      <c r="F21" s="201">
        <f t="shared" ref="F21:X21" si="8">SUMPRODUCT(F7:F18,$AD$7:$AD$18)*F$4</f>
        <v>0</v>
      </c>
      <c r="G21" s="201">
        <f t="shared" si="8"/>
        <v>0</v>
      </c>
      <c r="H21" s="201">
        <f t="shared" si="8"/>
        <v>0</v>
      </c>
      <c r="I21" s="201">
        <f t="shared" si="8"/>
        <v>0</v>
      </c>
      <c r="J21" s="201">
        <f t="shared" si="8"/>
        <v>0</v>
      </c>
      <c r="K21" s="201">
        <f t="shared" si="8"/>
        <v>0</v>
      </c>
      <c r="L21" s="201">
        <f t="shared" si="8"/>
        <v>0</v>
      </c>
      <c r="M21" s="201">
        <f t="shared" si="8"/>
        <v>0</v>
      </c>
      <c r="N21" s="201">
        <f t="shared" si="8"/>
        <v>0</v>
      </c>
      <c r="O21" s="201">
        <f t="shared" si="8"/>
        <v>0</v>
      </c>
      <c r="P21" s="201">
        <f t="shared" si="8"/>
        <v>0</v>
      </c>
      <c r="Q21" s="201">
        <f t="shared" si="8"/>
        <v>0</v>
      </c>
      <c r="R21" s="201">
        <f t="shared" si="8"/>
        <v>0</v>
      </c>
      <c r="S21" s="201">
        <f t="shared" si="8"/>
        <v>0</v>
      </c>
      <c r="T21" s="201">
        <f t="shared" si="8"/>
        <v>0</v>
      </c>
      <c r="U21" s="201">
        <f t="shared" si="8"/>
        <v>0</v>
      </c>
      <c r="V21" s="201">
        <f t="shared" si="8"/>
        <v>0</v>
      </c>
      <c r="W21" s="201">
        <f t="shared" si="8"/>
        <v>0</v>
      </c>
      <c r="X21" s="202">
        <f t="shared" si="8"/>
        <v>0</v>
      </c>
      <c r="Y21" s="97"/>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6"/>
    </row>
    <row r="22" spans="1:55" x14ac:dyDescent="0.2">
      <c r="A22" s="576"/>
      <c r="B22" s="98"/>
      <c r="C22" s="98"/>
      <c r="D22" s="98"/>
      <c r="E22" s="576"/>
      <c r="F22" s="576"/>
      <c r="G22" s="576"/>
      <c r="H22" s="576"/>
      <c r="I22" s="576"/>
      <c r="J22" s="576"/>
      <c r="K22" s="576"/>
      <c r="L22" s="576"/>
      <c r="M22" s="576"/>
      <c r="N22" s="576"/>
      <c r="O22" s="576"/>
      <c r="P22" s="576"/>
      <c r="Q22" s="576"/>
      <c r="R22" s="576"/>
      <c r="S22" s="576"/>
      <c r="T22" s="576"/>
      <c r="U22" s="576"/>
      <c r="V22" s="576"/>
      <c r="W22" s="576"/>
      <c r="X22" s="576"/>
      <c r="Y22" s="98"/>
      <c r="Z22" s="98"/>
      <c r="AA22" s="98"/>
      <c r="AB22" s="98"/>
      <c r="AC22" s="98"/>
      <c r="AD22" s="98"/>
      <c r="AE22" s="576"/>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7"/>
    </row>
    <row r="23" spans="1:55" x14ac:dyDescent="0.2">
      <c r="A23" s="576"/>
      <c r="B23" s="98"/>
      <c r="C23" s="98"/>
      <c r="D23" s="98"/>
      <c r="E23" s="576"/>
      <c r="F23" s="576"/>
      <c r="G23" s="576"/>
      <c r="H23" s="576"/>
      <c r="I23" s="576"/>
      <c r="J23" s="576"/>
      <c r="K23" s="576"/>
      <c r="L23" s="576"/>
      <c r="M23" s="576"/>
      <c r="N23" s="576"/>
      <c r="O23" s="576"/>
      <c r="P23" s="576"/>
      <c r="Q23" s="576"/>
      <c r="R23" s="576"/>
      <c r="S23" s="576"/>
      <c r="T23" s="576"/>
      <c r="U23" s="576"/>
      <c r="V23" s="576"/>
      <c r="W23" s="576"/>
      <c r="X23" s="576"/>
      <c r="Y23" s="98"/>
      <c r="Z23" s="98"/>
      <c r="AA23" s="98"/>
      <c r="AB23" s="98"/>
      <c r="AC23" s="98"/>
      <c r="AD23" s="98"/>
      <c r="AE23" s="576"/>
      <c r="AF23" s="576"/>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7"/>
    </row>
    <row r="24" spans="1:55" x14ac:dyDescent="0.2">
      <c r="A24" s="576"/>
      <c r="B24" s="98"/>
      <c r="C24" s="98"/>
      <c r="D24" s="98"/>
      <c r="E24" s="576"/>
      <c r="F24" s="576"/>
      <c r="G24" s="576"/>
      <c r="H24" s="576"/>
      <c r="I24" s="576"/>
      <c r="J24" s="576"/>
      <c r="K24" s="576"/>
      <c r="L24" s="576"/>
      <c r="M24" s="576"/>
      <c r="N24" s="576"/>
      <c r="O24" s="576"/>
      <c r="P24" s="576"/>
      <c r="Q24" s="576"/>
      <c r="R24" s="576"/>
      <c r="S24" s="576"/>
      <c r="T24" s="576"/>
      <c r="U24" s="576"/>
      <c r="V24" s="576"/>
      <c r="W24" s="576"/>
      <c r="X24" s="576"/>
      <c r="Y24" s="98"/>
      <c r="Z24" s="98"/>
      <c r="AA24" s="98"/>
      <c r="AB24" s="98"/>
      <c r="AC24" s="98"/>
      <c r="AD24" s="98"/>
      <c r="AE24" s="576"/>
      <c r="AF24" s="576"/>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7"/>
    </row>
    <row r="25" spans="1:55" x14ac:dyDescent="0.2">
      <c r="A25" s="576"/>
      <c r="B25" s="98"/>
      <c r="C25" s="98"/>
      <c r="D25" s="98"/>
      <c r="E25" s="576"/>
      <c r="F25" s="576"/>
      <c r="G25" s="576"/>
      <c r="H25" s="576"/>
      <c r="I25" s="576"/>
      <c r="J25" s="576"/>
      <c r="K25" s="576"/>
      <c r="L25" s="576"/>
      <c r="M25" s="576"/>
      <c r="N25" s="576"/>
      <c r="O25" s="576"/>
      <c r="P25" s="576"/>
      <c r="Q25" s="576"/>
      <c r="R25" s="576"/>
      <c r="S25" s="576"/>
      <c r="T25" s="576"/>
      <c r="U25" s="576"/>
      <c r="V25" s="576"/>
      <c r="W25" s="576"/>
      <c r="X25" s="576"/>
      <c r="Y25" s="98"/>
      <c r="Z25" s="98"/>
      <c r="AA25" s="98"/>
      <c r="AB25" s="98"/>
      <c r="AC25" s="98"/>
      <c r="AD25" s="98"/>
      <c r="AE25" s="576"/>
      <c r="AF25" s="576"/>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7"/>
    </row>
    <row r="26" spans="1:55" x14ac:dyDescent="0.2">
      <c r="A26" s="576"/>
      <c r="B26" s="98"/>
      <c r="C26" s="98"/>
      <c r="D26" s="98"/>
      <c r="E26" s="576"/>
      <c r="F26" s="576"/>
      <c r="G26" s="576"/>
      <c r="H26" s="576"/>
      <c r="I26" s="576"/>
      <c r="J26" s="576"/>
      <c r="K26" s="576"/>
      <c r="L26" s="576"/>
      <c r="M26" s="576"/>
      <c r="N26" s="576"/>
      <c r="O26" s="576"/>
      <c r="P26" s="576"/>
      <c r="Q26" s="576"/>
      <c r="R26" s="576"/>
      <c r="S26" s="576"/>
      <c r="T26" s="576"/>
      <c r="U26" s="576"/>
      <c r="V26" s="576"/>
      <c r="W26" s="576"/>
      <c r="X26" s="576"/>
      <c r="Y26" s="98"/>
      <c r="Z26" s="98"/>
      <c r="AA26" s="98"/>
      <c r="AB26" s="98"/>
      <c r="AC26" s="98"/>
      <c r="AD26" s="98"/>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7"/>
    </row>
    <row r="27" spans="1:55" x14ac:dyDescent="0.2">
      <c r="A27" s="576"/>
      <c r="B27" s="98"/>
      <c r="C27" s="98"/>
      <c r="D27" s="98"/>
      <c r="E27" s="576"/>
      <c r="F27" s="576"/>
      <c r="G27" s="576"/>
      <c r="H27" s="576"/>
      <c r="I27" s="576"/>
      <c r="J27" s="576"/>
      <c r="K27" s="576"/>
      <c r="L27" s="576"/>
      <c r="M27" s="576"/>
      <c r="N27" s="576"/>
      <c r="O27" s="576"/>
      <c r="P27" s="576"/>
      <c r="Q27" s="576"/>
      <c r="R27" s="576"/>
      <c r="S27" s="576"/>
      <c r="T27" s="576"/>
      <c r="U27" s="576"/>
      <c r="V27" s="576"/>
      <c r="W27" s="576"/>
      <c r="X27" s="576"/>
      <c r="Y27" s="98"/>
      <c r="Z27" s="98"/>
      <c r="AA27" s="98"/>
      <c r="AB27" s="98"/>
      <c r="AC27" s="98"/>
      <c r="AD27" s="98"/>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7"/>
    </row>
    <row r="28" spans="1:55" x14ac:dyDescent="0.2">
      <c r="A28" s="576"/>
      <c r="B28" s="98"/>
      <c r="C28" s="98"/>
      <c r="D28" s="98"/>
      <c r="E28" s="576"/>
      <c r="F28" s="576"/>
      <c r="G28" s="576"/>
      <c r="H28" s="576"/>
      <c r="I28" s="576"/>
      <c r="J28" s="576"/>
      <c r="K28" s="576"/>
      <c r="L28" s="576"/>
      <c r="M28" s="576"/>
      <c r="N28" s="576"/>
      <c r="O28" s="576"/>
      <c r="P28" s="576"/>
      <c r="Q28" s="576"/>
      <c r="R28" s="576"/>
      <c r="S28" s="576"/>
      <c r="T28" s="576"/>
      <c r="U28" s="576"/>
      <c r="V28" s="576"/>
      <c r="W28" s="576"/>
      <c r="X28" s="576"/>
      <c r="Y28" s="98"/>
      <c r="Z28" s="98"/>
      <c r="AA28" s="98"/>
      <c r="AB28" s="98"/>
      <c r="AC28" s="98"/>
      <c r="AD28" s="98"/>
      <c r="AE28" s="576"/>
      <c r="AF28" s="576"/>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7"/>
    </row>
    <row r="29" spans="1:55" x14ac:dyDescent="0.2">
      <c r="A29" s="576"/>
      <c r="B29" s="98"/>
      <c r="C29" s="98"/>
      <c r="D29" s="98"/>
      <c r="E29" s="576"/>
      <c r="F29" s="576"/>
      <c r="G29" s="576"/>
      <c r="H29" s="576"/>
      <c r="I29" s="576"/>
      <c r="J29" s="576"/>
      <c r="K29" s="576"/>
      <c r="L29" s="576"/>
      <c r="M29" s="576"/>
      <c r="N29" s="576"/>
      <c r="O29" s="576"/>
      <c r="P29" s="576"/>
      <c r="Q29" s="576"/>
      <c r="R29" s="576"/>
      <c r="S29" s="576"/>
      <c r="T29" s="576"/>
      <c r="U29" s="576"/>
      <c r="V29" s="576"/>
      <c r="W29" s="576"/>
      <c r="X29" s="576"/>
      <c r="Y29" s="98"/>
      <c r="Z29" s="98"/>
      <c r="AA29" s="98"/>
      <c r="AB29" s="98"/>
      <c r="AC29" s="98"/>
      <c r="AD29" s="98"/>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7"/>
    </row>
    <row r="30" spans="1:55" x14ac:dyDescent="0.2">
      <c r="A30" s="576"/>
      <c r="B30" s="98"/>
      <c r="C30" s="98"/>
      <c r="D30" s="98"/>
      <c r="E30" s="576"/>
      <c r="F30" s="576"/>
      <c r="G30" s="576"/>
      <c r="H30" s="576"/>
      <c r="I30" s="576"/>
      <c r="J30" s="576"/>
      <c r="K30" s="576"/>
      <c r="L30" s="576"/>
      <c r="M30" s="576"/>
      <c r="N30" s="576"/>
      <c r="O30" s="576"/>
      <c r="P30" s="576"/>
      <c r="Q30" s="576"/>
      <c r="R30" s="576"/>
      <c r="S30" s="576"/>
      <c r="T30" s="576"/>
      <c r="U30" s="576"/>
      <c r="V30" s="576"/>
      <c r="W30" s="576"/>
      <c r="X30" s="576"/>
      <c r="Y30" s="98"/>
      <c r="Z30" s="98"/>
      <c r="AA30" s="98"/>
      <c r="AB30" s="98"/>
      <c r="AC30" s="98"/>
      <c r="AD30" s="98"/>
      <c r="AE30" s="576"/>
      <c r="AF30" s="576"/>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7"/>
    </row>
    <row r="31" spans="1:55" x14ac:dyDescent="0.2">
      <c r="A31" s="576"/>
      <c r="B31" s="98"/>
      <c r="C31" s="98"/>
      <c r="D31" s="98"/>
      <c r="E31" s="576"/>
      <c r="F31" s="576"/>
      <c r="G31" s="576"/>
      <c r="H31" s="576"/>
      <c r="I31" s="576"/>
      <c r="J31" s="576"/>
      <c r="K31" s="576"/>
      <c r="L31" s="576"/>
      <c r="M31" s="576"/>
      <c r="N31" s="576"/>
      <c r="O31" s="576"/>
      <c r="P31" s="576"/>
      <c r="Q31" s="576"/>
      <c r="R31" s="576"/>
      <c r="S31" s="576"/>
      <c r="T31" s="576"/>
      <c r="U31" s="576"/>
      <c r="V31" s="576"/>
      <c r="W31" s="576"/>
      <c r="X31" s="576"/>
      <c r="Y31" s="98"/>
      <c r="Z31" s="98"/>
      <c r="AA31" s="98"/>
      <c r="AB31" s="98"/>
      <c r="AC31" s="98"/>
      <c r="AD31" s="98"/>
      <c r="AE31" s="576"/>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7"/>
    </row>
    <row r="32" spans="1:55" x14ac:dyDescent="0.2">
      <c r="A32" s="576"/>
      <c r="B32" s="98"/>
      <c r="C32" s="98"/>
      <c r="D32" s="98"/>
      <c r="E32" s="576"/>
      <c r="F32" s="576"/>
      <c r="G32" s="576"/>
      <c r="H32" s="576"/>
      <c r="I32" s="576"/>
      <c r="J32" s="576"/>
      <c r="K32" s="576"/>
      <c r="L32" s="576"/>
      <c r="M32" s="576"/>
      <c r="N32" s="576"/>
      <c r="O32" s="576"/>
      <c r="P32" s="576"/>
      <c r="Q32" s="576"/>
      <c r="R32" s="576"/>
      <c r="S32" s="576"/>
      <c r="T32" s="576"/>
      <c r="U32" s="576"/>
      <c r="V32" s="576"/>
      <c r="W32" s="576"/>
      <c r="X32" s="576"/>
      <c r="Y32" s="98"/>
      <c r="Z32" s="98"/>
      <c r="AA32" s="98"/>
      <c r="AB32" s="98"/>
      <c r="AC32" s="98"/>
      <c r="AD32" s="98"/>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7"/>
    </row>
    <row r="33" spans="1:55" x14ac:dyDescent="0.2">
      <c r="A33" s="576"/>
      <c r="B33" s="98"/>
      <c r="C33" s="98"/>
      <c r="D33" s="98"/>
      <c r="E33" s="576"/>
      <c r="F33" s="576"/>
      <c r="G33" s="576"/>
      <c r="H33" s="576"/>
      <c r="I33" s="576"/>
      <c r="J33" s="576"/>
      <c r="K33" s="576"/>
      <c r="L33" s="576"/>
      <c r="M33" s="576"/>
      <c r="N33" s="576"/>
      <c r="O33" s="576"/>
      <c r="P33" s="576"/>
      <c r="Q33" s="576"/>
      <c r="R33" s="576"/>
      <c r="S33" s="576"/>
      <c r="T33" s="576"/>
      <c r="U33" s="576"/>
      <c r="V33" s="576"/>
      <c r="W33" s="576"/>
      <c r="X33" s="576"/>
      <c r="Y33" s="98"/>
      <c r="Z33" s="98"/>
      <c r="AA33" s="98"/>
      <c r="AB33" s="98"/>
      <c r="AC33" s="98"/>
      <c r="AD33" s="98"/>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7"/>
    </row>
    <row r="34" spans="1:55" x14ac:dyDescent="0.2">
      <c r="A34" s="576"/>
      <c r="B34" s="98"/>
      <c r="C34" s="98"/>
      <c r="D34" s="98"/>
      <c r="E34" s="576"/>
      <c r="F34" s="576"/>
      <c r="G34" s="576"/>
      <c r="H34" s="576"/>
      <c r="I34" s="576"/>
      <c r="J34" s="576"/>
      <c r="K34" s="576"/>
      <c r="L34" s="576"/>
      <c r="M34" s="576"/>
      <c r="N34" s="576"/>
      <c r="O34" s="576"/>
      <c r="P34" s="576"/>
      <c r="Q34" s="576"/>
      <c r="R34" s="576"/>
      <c r="S34" s="576"/>
      <c r="T34" s="576"/>
      <c r="U34" s="576"/>
      <c r="V34" s="576"/>
      <c r="W34" s="576"/>
      <c r="X34" s="576"/>
      <c r="Y34" s="98"/>
      <c r="Z34" s="98"/>
      <c r="AA34" s="98"/>
      <c r="AB34" s="98"/>
      <c r="AC34" s="98"/>
      <c r="AD34" s="98"/>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7"/>
    </row>
    <row r="35" spans="1:55" x14ac:dyDescent="0.2">
      <c r="A35" s="576"/>
      <c r="B35" s="98"/>
      <c r="C35" s="98"/>
      <c r="D35" s="98"/>
      <c r="E35" s="576"/>
      <c r="F35" s="576"/>
      <c r="G35" s="576"/>
      <c r="H35" s="576"/>
      <c r="I35" s="576"/>
      <c r="J35" s="576"/>
      <c r="K35" s="576"/>
      <c r="L35" s="576"/>
      <c r="M35" s="576"/>
      <c r="N35" s="576"/>
      <c r="O35" s="576"/>
      <c r="P35" s="576"/>
      <c r="Q35" s="576"/>
      <c r="R35" s="576"/>
      <c r="S35" s="576"/>
      <c r="T35" s="576"/>
      <c r="U35" s="576"/>
      <c r="V35" s="576"/>
      <c r="W35" s="576"/>
      <c r="X35" s="576"/>
      <c r="Y35" s="98"/>
      <c r="Z35" s="98"/>
      <c r="AA35" s="98"/>
      <c r="AB35" s="98"/>
      <c r="AC35" s="98"/>
      <c r="AD35" s="98"/>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7"/>
    </row>
    <row r="36" spans="1:55" x14ac:dyDescent="0.2">
      <c r="A36" s="576"/>
      <c r="B36" s="98"/>
      <c r="C36" s="98"/>
      <c r="D36" s="98"/>
      <c r="E36" s="576"/>
      <c r="F36" s="576"/>
      <c r="G36" s="576"/>
      <c r="H36" s="576"/>
      <c r="I36" s="576"/>
      <c r="J36" s="576"/>
      <c r="K36" s="576"/>
      <c r="L36" s="576"/>
      <c r="M36" s="576"/>
      <c r="N36" s="576"/>
      <c r="O36" s="576"/>
      <c r="P36" s="576"/>
      <c r="Q36" s="576"/>
      <c r="R36" s="576"/>
      <c r="S36" s="576"/>
      <c r="T36" s="576"/>
      <c r="U36" s="576"/>
      <c r="V36" s="576"/>
      <c r="W36" s="576"/>
      <c r="X36" s="576"/>
      <c r="Y36" s="98"/>
      <c r="Z36" s="98"/>
      <c r="AA36" s="98"/>
      <c r="AB36" s="98"/>
      <c r="AC36" s="98"/>
      <c r="AD36" s="98"/>
      <c r="AE36" s="576"/>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7"/>
    </row>
    <row r="37" spans="1:55" x14ac:dyDescent="0.2">
      <c r="A37" s="576"/>
      <c r="B37" s="98"/>
      <c r="C37" s="98"/>
      <c r="D37" s="98"/>
      <c r="E37" s="576"/>
      <c r="F37" s="576"/>
      <c r="G37" s="576"/>
      <c r="H37" s="576"/>
      <c r="I37" s="576"/>
      <c r="J37" s="576"/>
      <c r="K37" s="576"/>
      <c r="L37" s="576"/>
      <c r="M37" s="576"/>
      <c r="N37" s="576"/>
      <c r="O37" s="576"/>
      <c r="P37" s="576"/>
      <c r="Q37" s="576"/>
      <c r="R37" s="576"/>
      <c r="S37" s="576"/>
      <c r="T37" s="576"/>
      <c r="U37" s="576"/>
      <c r="V37" s="576"/>
      <c r="W37" s="576"/>
      <c r="X37" s="576"/>
      <c r="Y37" s="98"/>
      <c r="Z37" s="98"/>
      <c r="AA37" s="98"/>
      <c r="AB37" s="98"/>
      <c r="AC37" s="98"/>
      <c r="AD37" s="98"/>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7"/>
    </row>
    <row r="38" spans="1:55" x14ac:dyDescent="0.2">
      <c r="A38" s="576"/>
      <c r="B38" s="98"/>
      <c r="C38" s="98"/>
      <c r="D38" s="98"/>
      <c r="E38" s="576"/>
      <c r="F38" s="576"/>
      <c r="G38" s="576"/>
      <c r="H38" s="576"/>
      <c r="I38" s="576"/>
      <c r="J38" s="576"/>
      <c r="K38" s="576"/>
      <c r="L38" s="576"/>
      <c r="M38" s="576"/>
      <c r="N38" s="576"/>
      <c r="O38" s="576"/>
      <c r="P38" s="576"/>
      <c r="Q38" s="576"/>
      <c r="R38" s="576"/>
      <c r="S38" s="576"/>
      <c r="T38" s="576"/>
      <c r="U38" s="576"/>
      <c r="V38" s="576"/>
      <c r="W38" s="576"/>
      <c r="X38" s="576"/>
      <c r="Y38" s="98"/>
      <c r="Z38" s="98"/>
      <c r="AA38" s="98"/>
      <c r="AB38" s="98"/>
      <c r="AC38" s="98"/>
      <c r="AD38" s="98"/>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7"/>
    </row>
    <row r="39" spans="1:55" x14ac:dyDescent="0.2">
      <c r="A39" s="576"/>
      <c r="B39" s="98"/>
      <c r="C39" s="98"/>
      <c r="D39" s="98"/>
      <c r="E39" s="576"/>
      <c r="F39" s="576"/>
      <c r="G39" s="576"/>
      <c r="H39" s="576"/>
      <c r="I39" s="576"/>
      <c r="J39" s="576"/>
      <c r="K39" s="576"/>
      <c r="L39" s="576"/>
      <c r="M39" s="576"/>
      <c r="N39" s="576"/>
      <c r="O39" s="576"/>
      <c r="P39" s="576"/>
      <c r="Q39" s="576"/>
      <c r="R39" s="576"/>
      <c r="S39" s="576"/>
      <c r="T39" s="576"/>
      <c r="U39" s="576"/>
      <c r="V39" s="576"/>
      <c r="W39" s="576"/>
      <c r="X39" s="576"/>
      <c r="Y39" s="98"/>
      <c r="Z39" s="98"/>
      <c r="AA39" s="98"/>
      <c r="AB39" s="98"/>
      <c r="AC39" s="98"/>
      <c r="AD39" s="98"/>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7"/>
    </row>
    <row r="40" spans="1:55" x14ac:dyDescent="0.2">
      <c r="A40" s="576"/>
      <c r="B40" s="98"/>
      <c r="C40" s="98"/>
      <c r="D40" s="98"/>
      <c r="E40" s="576"/>
      <c r="F40" s="576"/>
      <c r="G40" s="576"/>
      <c r="H40" s="576"/>
      <c r="I40" s="576"/>
      <c r="J40" s="576"/>
      <c r="K40" s="576"/>
      <c r="L40" s="576"/>
      <c r="M40" s="576"/>
      <c r="N40" s="576"/>
      <c r="O40" s="576"/>
      <c r="P40" s="576"/>
      <c r="Q40" s="576"/>
      <c r="R40" s="576"/>
      <c r="S40" s="576"/>
      <c r="T40" s="576"/>
      <c r="U40" s="576"/>
      <c r="V40" s="576"/>
      <c r="W40" s="576"/>
      <c r="X40" s="576"/>
      <c r="Y40" s="98"/>
      <c r="Z40" s="98"/>
      <c r="AA40" s="98"/>
      <c r="AB40" s="98"/>
      <c r="AC40" s="98"/>
      <c r="AD40" s="98"/>
      <c r="AE40" s="576"/>
      <c r="AF40" s="576"/>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7"/>
    </row>
    <row r="41" spans="1:55" x14ac:dyDescent="0.2">
      <c r="A41" s="576"/>
      <c r="B41" s="98"/>
      <c r="C41" s="98"/>
      <c r="D41" s="98"/>
      <c r="E41" s="576"/>
      <c r="F41" s="576"/>
      <c r="G41" s="576"/>
      <c r="H41" s="576"/>
      <c r="I41" s="576"/>
      <c r="J41" s="576"/>
      <c r="K41" s="576"/>
      <c r="L41" s="576"/>
      <c r="M41" s="576"/>
      <c r="N41" s="576"/>
      <c r="O41" s="576"/>
      <c r="P41" s="576"/>
      <c r="Q41" s="576"/>
      <c r="R41" s="576"/>
      <c r="S41" s="576"/>
      <c r="T41" s="576"/>
      <c r="U41" s="576"/>
      <c r="V41" s="576"/>
      <c r="W41" s="576"/>
      <c r="X41" s="576"/>
      <c r="Y41" s="98"/>
      <c r="Z41" s="98"/>
      <c r="AA41" s="98"/>
      <c r="AB41" s="98"/>
      <c r="AC41" s="98"/>
      <c r="AD41" s="98"/>
      <c r="AE41" s="576"/>
      <c r="AF41" s="576"/>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7"/>
    </row>
    <row r="42" spans="1:55" x14ac:dyDescent="0.2">
      <c r="A42" s="576"/>
      <c r="B42" s="98"/>
      <c r="C42" s="98"/>
      <c r="D42" s="98"/>
      <c r="E42" s="576"/>
      <c r="F42" s="576"/>
      <c r="G42" s="576"/>
      <c r="H42" s="576"/>
      <c r="I42" s="576"/>
      <c r="J42" s="576"/>
      <c r="K42" s="576"/>
      <c r="L42" s="576"/>
      <c r="M42" s="576"/>
      <c r="N42" s="576"/>
      <c r="O42" s="576"/>
      <c r="P42" s="576"/>
      <c r="Q42" s="576"/>
      <c r="R42" s="576"/>
      <c r="S42" s="576"/>
      <c r="T42" s="576"/>
      <c r="U42" s="576"/>
      <c r="V42" s="576"/>
      <c r="W42" s="576"/>
      <c r="X42" s="576"/>
      <c r="Y42" s="98"/>
      <c r="Z42" s="98"/>
      <c r="AA42" s="98"/>
      <c r="AB42" s="98"/>
      <c r="AC42" s="98"/>
      <c r="AD42" s="98"/>
      <c r="AE42" s="576"/>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7"/>
    </row>
    <row r="43" spans="1:55" x14ac:dyDescent="0.2">
      <c r="A43" s="576"/>
      <c r="B43" s="98"/>
      <c r="C43" s="98"/>
      <c r="D43" s="98"/>
      <c r="E43" s="576"/>
      <c r="F43" s="576"/>
      <c r="G43" s="576"/>
      <c r="H43" s="576"/>
      <c r="I43" s="576"/>
      <c r="J43" s="576"/>
      <c r="K43" s="576"/>
      <c r="L43" s="576"/>
      <c r="M43" s="576"/>
      <c r="N43" s="576"/>
      <c r="O43" s="576"/>
      <c r="P43" s="576"/>
      <c r="Q43" s="576"/>
      <c r="R43" s="576"/>
      <c r="S43" s="576"/>
      <c r="T43" s="576"/>
      <c r="U43" s="576"/>
      <c r="V43" s="576"/>
      <c r="W43" s="576"/>
      <c r="X43" s="576"/>
      <c r="Y43" s="98"/>
      <c r="Z43" s="98"/>
      <c r="AA43" s="98"/>
      <c r="AB43" s="98"/>
      <c r="AC43" s="98"/>
      <c r="AD43" s="98"/>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7"/>
    </row>
    <row r="44" spans="1:55" x14ac:dyDescent="0.2">
      <c r="A44" s="576"/>
      <c r="B44" s="98"/>
      <c r="C44" s="98"/>
      <c r="D44" s="98"/>
      <c r="E44" s="576"/>
      <c r="F44" s="576"/>
      <c r="G44" s="576"/>
      <c r="H44" s="576"/>
      <c r="I44" s="576"/>
      <c r="J44" s="576"/>
      <c r="K44" s="576"/>
      <c r="L44" s="576"/>
      <c r="M44" s="576"/>
      <c r="N44" s="576"/>
      <c r="O44" s="576"/>
      <c r="P44" s="576"/>
      <c r="Q44" s="576"/>
      <c r="R44" s="576"/>
      <c r="S44" s="576"/>
      <c r="T44" s="576"/>
      <c r="U44" s="576"/>
      <c r="V44" s="576"/>
      <c r="W44" s="576"/>
      <c r="X44" s="576"/>
      <c r="Y44" s="98"/>
      <c r="Z44" s="98"/>
      <c r="AA44" s="98"/>
      <c r="AB44" s="98"/>
      <c r="AC44" s="98"/>
      <c r="AD44" s="98"/>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7"/>
    </row>
    <row r="45" spans="1:55" x14ac:dyDescent="0.2">
      <c r="A45" s="576"/>
      <c r="B45" s="98"/>
      <c r="C45" s="98"/>
      <c r="D45" s="98"/>
      <c r="E45" s="576"/>
      <c r="F45" s="576"/>
      <c r="G45" s="576"/>
      <c r="H45" s="576"/>
      <c r="I45" s="576"/>
      <c r="J45" s="576"/>
      <c r="K45" s="576"/>
      <c r="L45" s="576"/>
      <c r="M45" s="576"/>
      <c r="N45" s="576"/>
      <c r="O45" s="576"/>
      <c r="P45" s="576"/>
      <c r="Q45" s="576"/>
      <c r="R45" s="576"/>
      <c r="S45" s="576"/>
      <c r="T45" s="576"/>
      <c r="U45" s="576"/>
      <c r="V45" s="576"/>
      <c r="W45" s="576"/>
      <c r="X45" s="576"/>
      <c r="Y45" s="98"/>
      <c r="Z45" s="98"/>
      <c r="AA45" s="98"/>
      <c r="AB45" s="98"/>
      <c r="AC45" s="98"/>
      <c r="AD45" s="98"/>
      <c r="AE45" s="576"/>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7"/>
    </row>
    <row r="46" spans="1:55" x14ac:dyDescent="0.2">
      <c r="A46" s="576"/>
      <c r="B46" s="98"/>
      <c r="C46" s="98"/>
      <c r="D46" s="98"/>
      <c r="E46" s="576"/>
      <c r="F46" s="576"/>
      <c r="G46" s="576"/>
      <c r="H46" s="576"/>
      <c r="I46" s="576"/>
      <c r="J46" s="576"/>
      <c r="K46" s="576"/>
      <c r="L46" s="576"/>
      <c r="M46" s="576"/>
      <c r="N46" s="576"/>
      <c r="O46" s="576"/>
      <c r="P46" s="576"/>
      <c r="Q46" s="576"/>
      <c r="R46" s="576"/>
      <c r="S46" s="576"/>
      <c r="T46" s="576"/>
      <c r="U46" s="576"/>
      <c r="V46" s="576"/>
      <c r="W46" s="576"/>
      <c r="X46" s="576"/>
      <c r="Y46" s="98"/>
      <c r="Z46" s="98"/>
      <c r="AA46" s="98"/>
      <c r="AB46" s="98"/>
      <c r="AC46" s="98"/>
      <c r="AD46" s="98"/>
      <c r="AE46" s="576"/>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7"/>
    </row>
    <row r="47" spans="1:55" x14ac:dyDescent="0.2">
      <c r="A47" s="576"/>
      <c r="B47" s="98"/>
      <c r="C47" s="98"/>
      <c r="D47" s="98"/>
      <c r="E47" s="576"/>
      <c r="F47" s="576"/>
      <c r="G47" s="576"/>
      <c r="H47" s="576"/>
      <c r="I47" s="576"/>
      <c r="J47" s="576"/>
      <c r="K47" s="576"/>
      <c r="L47" s="576"/>
      <c r="M47" s="576"/>
      <c r="N47" s="576"/>
      <c r="O47" s="576"/>
      <c r="P47" s="576"/>
      <c r="Q47" s="576"/>
      <c r="R47" s="576"/>
      <c r="S47" s="576"/>
      <c r="T47" s="576"/>
      <c r="U47" s="576"/>
      <c r="V47" s="576"/>
      <c r="W47" s="576"/>
      <c r="X47" s="576"/>
      <c r="Y47" s="98"/>
      <c r="Z47" s="98"/>
      <c r="AA47" s="98"/>
      <c r="AB47" s="98"/>
      <c r="AC47" s="98"/>
      <c r="AD47" s="98"/>
      <c r="AE47" s="576"/>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7"/>
    </row>
    <row r="48" spans="1:55" x14ac:dyDescent="0.2">
      <c r="A48" s="576"/>
      <c r="B48" s="98"/>
      <c r="C48" s="98"/>
      <c r="D48" s="98"/>
      <c r="E48" s="576"/>
      <c r="F48" s="576"/>
      <c r="G48" s="576"/>
      <c r="H48" s="576"/>
      <c r="I48" s="576"/>
      <c r="J48" s="576"/>
      <c r="K48" s="576"/>
      <c r="L48" s="576"/>
      <c r="M48" s="576"/>
      <c r="N48" s="576"/>
      <c r="O48" s="576"/>
      <c r="P48" s="576"/>
      <c r="Q48" s="576"/>
      <c r="R48" s="576"/>
      <c r="S48" s="576"/>
      <c r="T48" s="576"/>
      <c r="U48" s="576"/>
      <c r="V48" s="576"/>
      <c r="W48" s="576"/>
      <c r="X48" s="576"/>
      <c r="Y48" s="98"/>
      <c r="Z48" s="98"/>
      <c r="AA48" s="98"/>
      <c r="AB48" s="98"/>
      <c r="AC48" s="98"/>
      <c r="AD48" s="98"/>
      <c r="AE48" s="576"/>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7"/>
    </row>
    <row r="49" spans="1:55" x14ac:dyDescent="0.2">
      <c r="A49" s="576"/>
      <c r="B49" s="98"/>
      <c r="C49" s="98"/>
      <c r="D49" s="98"/>
      <c r="E49" s="576"/>
      <c r="F49" s="576"/>
      <c r="G49" s="576"/>
      <c r="H49" s="576"/>
      <c r="I49" s="576"/>
      <c r="J49" s="576"/>
      <c r="K49" s="576"/>
      <c r="L49" s="576"/>
      <c r="M49" s="576"/>
      <c r="N49" s="576"/>
      <c r="O49" s="576"/>
      <c r="P49" s="576"/>
      <c r="Q49" s="576"/>
      <c r="R49" s="576"/>
      <c r="S49" s="576"/>
      <c r="T49" s="576"/>
      <c r="U49" s="576"/>
      <c r="V49" s="576"/>
      <c r="W49" s="576"/>
      <c r="X49" s="576"/>
      <c r="Y49" s="98"/>
      <c r="Z49" s="98"/>
      <c r="AA49" s="98"/>
      <c r="AB49" s="98"/>
      <c r="AC49" s="98"/>
      <c r="AD49" s="98"/>
      <c r="AE49" s="576"/>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7"/>
    </row>
    <row r="50" spans="1:55" x14ac:dyDescent="0.2">
      <c r="A50" s="576"/>
      <c r="B50" s="98"/>
      <c r="C50" s="98"/>
      <c r="D50" s="98"/>
      <c r="E50" s="576"/>
      <c r="F50" s="576"/>
      <c r="G50" s="576"/>
      <c r="H50" s="576"/>
      <c r="I50" s="576"/>
      <c r="J50" s="576"/>
      <c r="K50" s="576"/>
      <c r="L50" s="576"/>
      <c r="M50" s="576"/>
      <c r="N50" s="576"/>
      <c r="O50" s="576"/>
      <c r="P50" s="576"/>
      <c r="Q50" s="576"/>
      <c r="R50" s="576"/>
      <c r="S50" s="576"/>
      <c r="T50" s="576"/>
      <c r="U50" s="576"/>
      <c r="V50" s="576"/>
      <c r="W50" s="576"/>
      <c r="X50" s="576"/>
      <c r="Y50" s="98"/>
      <c r="Z50" s="98"/>
      <c r="AA50" s="98"/>
      <c r="AB50" s="98"/>
      <c r="AC50" s="98"/>
      <c r="AD50" s="98"/>
      <c r="AE50" s="576"/>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7"/>
    </row>
    <row r="51" spans="1:55" x14ac:dyDescent="0.2">
      <c r="A51" s="576"/>
      <c r="B51" s="98"/>
      <c r="C51" s="98"/>
      <c r="D51" s="98"/>
      <c r="E51" s="576"/>
      <c r="F51" s="576"/>
      <c r="G51" s="576"/>
      <c r="H51" s="576"/>
      <c r="I51" s="576"/>
      <c r="J51" s="576"/>
      <c r="K51" s="576"/>
      <c r="L51" s="576"/>
      <c r="M51" s="576"/>
      <c r="N51" s="576"/>
      <c r="O51" s="576"/>
      <c r="P51" s="576"/>
      <c r="Q51" s="576"/>
      <c r="R51" s="576"/>
      <c r="S51" s="576"/>
      <c r="T51" s="576"/>
      <c r="U51" s="576"/>
      <c r="V51" s="576"/>
      <c r="W51" s="576"/>
      <c r="X51" s="576"/>
      <c r="Y51" s="98"/>
      <c r="Z51" s="98"/>
      <c r="AA51" s="98"/>
      <c r="AB51" s="98"/>
      <c r="AC51" s="98"/>
      <c r="AD51" s="98"/>
      <c r="AE51" s="576"/>
      <c r="AF51" s="576"/>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7"/>
    </row>
    <row r="52" spans="1:55" x14ac:dyDescent="0.2">
      <c r="A52" s="576"/>
      <c r="B52" s="98"/>
      <c r="C52" s="98"/>
      <c r="D52" s="98"/>
      <c r="E52" s="576"/>
      <c r="F52" s="576"/>
      <c r="G52" s="576"/>
      <c r="H52" s="576"/>
      <c r="I52" s="576"/>
      <c r="J52" s="576"/>
      <c r="K52" s="576"/>
      <c r="L52" s="576"/>
      <c r="M52" s="576"/>
      <c r="N52" s="576"/>
      <c r="O52" s="576"/>
      <c r="P52" s="576"/>
      <c r="Q52" s="576"/>
      <c r="R52" s="576"/>
      <c r="S52" s="576"/>
      <c r="T52" s="576"/>
      <c r="U52" s="576"/>
      <c r="V52" s="576"/>
      <c r="W52" s="576"/>
      <c r="X52" s="576"/>
      <c r="Y52" s="98"/>
      <c r="Z52" s="98"/>
      <c r="AA52" s="98"/>
      <c r="AB52" s="98"/>
      <c r="AC52" s="98"/>
      <c r="AD52" s="98"/>
      <c r="AE52" s="576"/>
      <c r="AF52" s="576"/>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7"/>
    </row>
    <row r="53" spans="1:55" x14ac:dyDescent="0.2">
      <c r="A53" s="576"/>
      <c r="B53" s="98"/>
      <c r="C53" s="98"/>
      <c r="D53" s="98"/>
      <c r="E53" s="576"/>
      <c r="F53" s="576"/>
      <c r="G53" s="576"/>
      <c r="H53" s="576"/>
      <c r="I53" s="576"/>
      <c r="J53" s="576"/>
      <c r="K53" s="576"/>
      <c r="L53" s="576"/>
      <c r="M53" s="576"/>
      <c r="N53" s="576"/>
      <c r="O53" s="576"/>
      <c r="P53" s="576"/>
      <c r="Q53" s="576"/>
      <c r="R53" s="576"/>
      <c r="S53" s="576"/>
      <c r="T53" s="576"/>
      <c r="U53" s="576"/>
      <c r="V53" s="576"/>
      <c r="W53" s="576"/>
      <c r="X53" s="576"/>
      <c r="Y53" s="98"/>
      <c r="Z53" s="98"/>
      <c r="AA53" s="98"/>
      <c r="AB53" s="98"/>
      <c r="AC53" s="98"/>
      <c r="AD53" s="98"/>
      <c r="AE53" s="576"/>
      <c r="AF53" s="576"/>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7"/>
    </row>
    <row r="54" spans="1:55" x14ac:dyDescent="0.2">
      <c r="A54" s="576"/>
      <c r="B54" s="98"/>
      <c r="C54" s="98"/>
      <c r="D54" s="98"/>
      <c r="E54" s="576"/>
      <c r="F54" s="576"/>
      <c r="G54" s="576"/>
      <c r="H54" s="576"/>
      <c r="I54" s="576"/>
      <c r="J54" s="576"/>
      <c r="K54" s="576"/>
      <c r="L54" s="576"/>
      <c r="M54" s="576"/>
      <c r="N54" s="576"/>
      <c r="O54" s="576"/>
      <c r="P54" s="576"/>
      <c r="Q54" s="576"/>
      <c r="R54" s="576"/>
      <c r="S54" s="576"/>
      <c r="T54" s="576"/>
      <c r="U54" s="576"/>
      <c r="V54" s="576"/>
      <c r="W54" s="576"/>
      <c r="X54" s="576"/>
      <c r="Y54" s="98"/>
      <c r="Z54" s="98"/>
      <c r="AA54" s="98"/>
      <c r="AB54" s="98"/>
      <c r="AC54" s="98"/>
      <c r="AD54" s="98"/>
      <c r="AE54" s="576"/>
      <c r="AF54" s="576"/>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7"/>
    </row>
    <row r="55" spans="1:55" x14ac:dyDescent="0.2">
      <c r="A55" s="576"/>
      <c r="B55" s="98"/>
      <c r="C55" s="98"/>
      <c r="D55" s="98"/>
      <c r="E55" s="576"/>
      <c r="F55" s="576"/>
      <c r="G55" s="576"/>
      <c r="H55" s="576"/>
      <c r="I55" s="576"/>
      <c r="J55" s="576"/>
      <c r="K55" s="576"/>
      <c r="L55" s="576"/>
      <c r="M55" s="576"/>
      <c r="N55" s="576"/>
      <c r="O55" s="576"/>
      <c r="P55" s="576"/>
      <c r="Q55" s="576"/>
      <c r="R55" s="576"/>
      <c r="S55" s="576"/>
      <c r="T55" s="576"/>
      <c r="U55" s="576"/>
      <c r="V55" s="576"/>
      <c r="W55" s="576"/>
      <c r="X55" s="576"/>
      <c r="Y55" s="98"/>
      <c r="Z55" s="98"/>
      <c r="AA55" s="98"/>
      <c r="AB55" s="98"/>
      <c r="AC55" s="98"/>
      <c r="AD55" s="98"/>
      <c r="AE55" s="576"/>
      <c r="AF55" s="576"/>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7"/>
    </row>
    <row r="56" spans="1:55" x14ac:dyDescent="0.2">
      <c r="A56" s="576"/>
      <c r="B56" s="98"/>
      <c r="C56" s="98"/>
      <c r="D56" s="98"/>
      <c r="E56" s="576"/>
      <c r="F56" s="576"/>
      <c r="G56" s="576"/>
      <c r="H56" s="576"/>
      <c r="I56" s="576"/>
      <c r="J56" s="576"/>
      <c r="K56" s="576"/>
      <c r="L56" s="576"/>
      <c r="M56" s="576"/>
      <c r="N56" s="576"/>
      <c r="O56" s="576"/>
      <c r="P56" s="576"/>
      <c r="Q56" s="576"/>
      <c r="R56" s="576"/>
      <c r="S56" s="576"/>
      <c r="T56" s="576"/>
      <c r="U56" s="576"/>
      <c r="V56" s="576"/>
      <c r="W56" s="576"/>
      <c r="X56" s="576"/>
      <c r="Y56" s="98"/>
      <c r="Z56" s="98"/>
      <c r="AA56" s="98"/>
      <c r="AB56" s="98"/>
      <c r="AC56" s="98"/>
      <c r="AD56" s="98"/>
      <c r="AE56" s="576"/>
      <c r="AF56" s="576"/>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7"/>
    </row>
    <row r="57" spans="1:55" x14ac:dyDescent="0.2">
      <c r="A57" s="576"/>
      <c r="B57" s="98"/>
      <c r="C57" s="98"/>
      <c r="D57" s="98"/>
      <c r="E57" s="576"/>
      <c r="F57" s="576"/>
      <c r="G57" s="576"/>
      <c r="H57" s="576"/>
      <c r="I57" s="576"/>
      <c r="J57" s="576"/>
      <c r="K57" s="576"/>
      <c r="L57" s="576"/>
      <c r="M57" s="576"/>
      <c r="N57" s="576"/>
      <c r="O57" s="576"/>
      <c r="P57" s="576"/>
      <c r="Q57" s="576"/>
      <c r="R57" s="576"/>
      <c r="S57" s="576"/>
      <c r="T57" s="576"/>
      <c r="U57" s="576"/>
      <c r="V57" s="576"/>
      <c r="W57" s="576"/>
      <c r="X57" s="576"/>
      <c r="Y57" s="98"/>
      <c r="Z57" s="98"/>
      <c r="AA57" s="98"/>
      <c r="AB57" s="98"/>
      <c r="AC57" s="98"/>
      <c r="AD57" s="98"/>
      <c r="AE57" s="576"/>
      <c r="AF57" s="576"/>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7"/>
    </row>
    <row r="58" spans="1:55" x14ac:dyDescent="0.2">
      <c r="A58" s="576"/>
      <c r="B58" s="98"/>
      <c r="C58" s="98"/>
      <c r="D58" s="98"/>
      <c r="E58" s="576"/>
      <c r="F58" s="576"/>
      <c r="G58" s="576"/>
      <c r="H58" s="576"/>
      <c r="I58" s="576"/>
      <c r="J58" s="576"/>
      <c r="K58" s="576"/>
      <c r="L58" s="576"/>
      <c r="M58" s="576"/>
      <c r="N58" s="576"/>
      <c r="O58" s="576"/>
      <c r="P58" s="576"/>
      <c r="Q58" s="576"/>
      <c r="R58" s="576"/>
      <c r="S58" s="576"/>
      <c r="T58" s="576"/>
      <c r="U58" s="576"/>
      <c r="V58" s="576"/>
      <c r="W58" s="576"/>
      <c r="X58" s="576"/>
      <c r="Y58" s="98"/>
      <c r="Z58" s="98"/>
      <c r="AA58" s="98"/>
      <c r="AB58" s="98"/>
      <c r="AC58" s="98"/>
      <c r="AD58" s="98"/>
      <c r="AE58" s="576"/>
      <c r="AF58" s="576"/>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7"/>
    </row>
    <row r="59" spans="1:55" x14ac:dyDescent="0.2">
      <c r="A59" s="576"/>
      <c r="B59" s="98"/>
      <c r="C59" s="98"/>
      <c r="D59" s="98"/>
      <c r="E59" s="576"/>
      <c r="F59" s="576"/>
      <c r="G59" s="576"/>
      <c r="H59" s="576"/>
      <c r="I59" s="576"/>
      <c r="J59" s="576"/>
      <c r="K59" s="576"/>
      <c r="L59" s="576"/>
      <c r="M59" s="576"/>
      <c r="N59" s="576"/>
      <c r="O59" s="576"/>
      <c r="P59" s="576"/>
      <c r="Q59" s="576"/>
      <c r="R59" s="576"/>
      <c r="S59" s="576"/>
      <c r="T59" s="576"/>
      <c r="U59" s="576"/>
      <c r="V59" s="576"/>
      <c r="W59" s="576"/>
      <c r="X59" s="576"/>
      <c r="Y59" s="98"/>
      <c r="Z59" s="98"/>
      <c r="AA59" s="98"/>
      <c r="AB59" s="98"/>
      <c r="AC59" s="98"/>
      <c r="AD59" s="98"/>
      <c r="AE59" s="576"/>
      <c r="AF59" s="576"/>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7"/>
    </row>
    <row r="60" spans="1:55" x14ac:dyDescent="0.2">
      <c r="A60" s="576"/>
      <c r="B60" s="98"/>
      <c r="C60" s="98"/>
      <c r="D60" s="98"/>
      <c r="E60" s="576"/>
      <c r="F60" s="576"/>
      <c r="G60" s="576"/>
      <c r="H60" s="576"/>
      <c r="I60" s="576"/>
      <c r="J60" s="576"/>
      <c r="K60" s="576"/>
      <c r="L60" s="576"/>
      <c r="M60" s="576"/>
      <c r="N60" s="576"/>
      <c r="O60" s="576"/>
      <c r="P60" s="576"/>
      <c r="Q60" s="576"/>
      <c r="R60" s="576"/>
      <c r="S60" s="576"/>
      <c r="T60" s="576"/>
      <c r="U60" s="576"/>
      <c r="V60" s="576"/>
      <c r="W60" s="576"/>
      <c r="X60" s="576"/>
      <c r="Y60" s="98"/>
      <c r="Z60" s="98"/>
      <c r="AA60" s="98"/>
      <c r="AB60" s="98"/>
      <c r="AC60" s="98"/>
      <c r="AD60" s="98"/>
      <c r="AE60" s="576"/>
      <c r="AF60" s="576"/>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7"/>
    </row>
    <row r="61" spans="1:55" x14ac:dyDescent="0.2">
      <c r="A61" s="576"/>
      <c r="B61" s="98"/>
      <c r="C61" s="98"/>
      <c r="D61" s="98"/>
      <c r="E61" s="576"/>
      <c r="F61" s="576"/>
      <c r="G61" s="576"/>
      <c r="H61" s="576"/>
      <c r="I61" s="576"/>
      <c r="J61" s="576"/>
      <c r="K61" s="576"/>
      <c r="L61" s="576"/>
      <c r="M61" s="576"/>
      <c r="N61" s="576"/>
      <c r="O61" s="576"/>
      <c r="P61" s="576"/>
      <c r="Q61" s="576"/>
      <c r="R61" s="576"/>
      <c r="S61" s="576"/>
      <c r="T61" s="576"/>
      <c r="U61" s="576"/>
      <c r="V61" s="576"/>
      <c r="W61" s="576"/>
      <c r="X61" s="576"/>
      <c r="Y61" s="98"/>
      <c r="Z61" s="98"/>
      <c r="AA61" s="98"/>
      <c r="AB61" s="98"/>
      <c r="AC61" s="98"/>
      <c r="AD61" s="98"/>
      <c r="AE61" s="576"/>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7"/>
    </row>
    <row r="62" spans="1:55" x14ac:dyDescent="0.2">
      <c r="A62" s="576"/>
      <c r="B62" s="98"/>
      <c r="C62" s="98"/>
      <c r="D62" s="98"/>
      <c r="E62" s="576"/>
      <c r="F62" s="576"/>
      <c r="G62" s="576"/>
      <c r="H62" s="576"/>
      <c r="I62" s="576"/>
      <c r="J62" s="576"/>
      <c r="K62" s="576"/>
      <c r="L62" s="576"/>
      <c r="M62" s="576"/>
      <c r="N62" s="576"/>
      <c r="O62" s="576"/>
      <c r="P62" s="576"/>
      <c r="Q62" s="576"/>
      <c r="R62" s="576"/>
      <c r="S62" s="576"/>
      <c r="T62" s="576"/>
      <c r="U62" s="576"/>
      <c r="V62" s="576"/>
      <c r="W62" s="576"/>
      <c r="X62" s="576"/>
      <c r="Y62" s="98"/>
      <c r="Z62" s="98"/>
      <c r="AA62" s="98"/>
      <c r="AB62" s="98"/>
      <c r="AC62" s="98"/>
      <c r="AD62" s="98"/>
      <c r="AE62" s="576"/>
      <c r="AF62" s="576"/>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7"/>
    </row>
    <row r="63" spans="1:55" x14ac:dyDescent="0.2">
      <c r="A63" s="576"/>
      <c r="B63" s="98"/>
      <c r="C63" s="98"/>
      <c r="D63" s="98"/>
      <c r="E63" s="576"/>
      <c r="F63" s="576"/>
      <c r="G63" s="576"/>
      <c r="H63" s="576"/>
      <c r="I63" s="576"/>
      <c r="J63" s="576"/>
      <c r="K63" s="576"/>
      <c r="L63" s="576"/>
      <c r="M63" s="576"/>
      <c r="N63" s="576"/>
      <c r="O63" s="576"/>
      <c r="P63" s="576"/>
      <c r="Q63" s="576"/>
      <c r="R63" s="576"/>
      <c r="S63" s="576"/>
      <c r="T63" s="576"/>
      <c r="U63" s="576"/>
      <c r="V63" s="576"/>
      <c r="W63" s="576"/>
      <c r="X63" s="576"/>
      <c r="Y63" s="98"/>
      <c r="Z63" s="98"/>
      <c r="AA63" s="98"/>
      <c r="AB63" s="98"/>
      <c r="AC63" s="98"/>
      <c r="AD63" s="98"/>
      <c r="AE63" s="576"/>
      <c r="AF63" s="576"/>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7"/>
    </row>
    <row r="64" spans="1:55" x14ac:dyDescent="0.2">
      <c r="A64" s="576"/>
      <c r="B64" s="98"/>
      <c r="C64" s="98"/>
      <c r="D64" s="98"/>
      <c r="E64" s="576"/>
      <c r="F64" s="576"/>
      <c r="G64" s="576"/>
      <c r="H64" s="576"/>
      <c r="I64" s="576"/>
      <c r="J64" s="576"/>
      <c r="K64" s="576"/>
      <c r="L64" s="576"/>
      <c r="M64" s="576"/>
      <c r="N64" s="576"/>
      <c r="O64" s="576"/>
      <c r="P64" s="576"/>
      <c r="Q64" s="576"/>
      <c r="R64" s="576"/>
      <c r="S64" s="576"/>
      <c r="T64" s="576"/>
      <c r="U64" s="576"/>
      <c r="V64" s="576"/>
      <c r="W64" s="576"/>
      <c r="X64" s="576"/>
      <c r="Y64" s="98"/>
      <c r="Z64" s="98"/>
      <c r="AA64" s="98"/>
      <c r="AB64" s="98"/>
      <c r="AC64" s="98"/>
      <c r="AD64" s="98"/>
      <c r="AE64" s="576"/>
      <c r="AF64" s="576"/>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7"/>
    </row>
    <row r="65" spans="1:55" x14ac:dyDescent="0.2">
      <c r="A65" s="576"/>
      <c r="B65" s="98"/>
      <c r="C65" s="98"/>
      <c r="D65" s="98"/>
      <c r="E65" s="576"/>
      <c r="F65" s="576"/>
      <c r="G65" s="576"/>
      <c r="H65" s="576"/>
      <c r="I65" s="576"/>
      <c r="J65" s="576"/>
      <c r="K65" s="576"/>
      <c r="L65" s="576"/>
      <c r="M65" s="576"/>
      <c r="N65" s="576"/>
      <c r="O65" s="576"/>
      <c r="P65" s="576"/>
      <c r="Q65" s="576"/>
      <c r="R65" s="576"/>
      <c r="S65" s="576"/>
      <c r="T65" s="576"/>
      <c r="U65" s="576"/>
      <c r="V65" s="576"/>
      <c r="W65" s="576"/>
      <c r="X65" s="576"/>
      <c r="Y65" s="98"/>
      <c r="Z65" s="98"/>
      <c r="AA65" s="98"/>
      <c r="AB65" s="98"/>
      <c r="AC65" s="98"/>
      <c r="AD65" s="98"/>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7"/>
    </row>
    <row r="66" spans="1:55" x14ac:dyDescent="0.2">
      <c r="A66" s="576"/>
      <c r="B66" s="98"/>
      <c r="C66" s="98"/>
      <c r="D66" s="98"/>
      <c r="E66" s="576"/>
      <c r="F66" s="576"/>
      <c r="G66" s="576"/>
      <c r="H66" s="576"/>
      <c r="I66" s="576"/>
      <c r="J66" s="576"/>
      <c r="K66" s="576"/>
      <c r="L66" s="576"/>
      <c r="M66" s="576"/>
      <c r="N66" s="576"/>
      <c r="O66" s="576"/>
      <c r="P66" s="576"/>
      <c r="Q66" s="576"/>
      <c r="R66" s="576"/>
      <c r="S66" s="576"/>
      <c r="T66" s="576"/>
      <c r="U66" s="576"/>
      <c r="V66" s="576"/>
      <c r="W66" s="576"/>
      <c r="X66" s="576"/>
      <c r="Y66" s="98"/>
      <c r="Z66" s="98"/>
      <c r="AA66" s="98"/>
      <c r="AB66" s="98"/>
      <c r="AC66" s="98"/>
      <c r="AD66" s="98"/>
      <c r="AE66" s="576"/>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7"/>
    </row>
    <row r="67" spans="1:55" x14ac:dyDescent="0.2">
      <c r="A67" s="576"/>
      <c r="B67" s="98"/>
      <c r="C67" s="98"/>
      <c r="D67" s="98"/>
      <c r="E67" s="576"/>
      <c r="F67" s="576"/>
      <c r="G67" s="576"/>
      <c r="H67" s="576"/>
      <c r="I67" s="576"/>
      <c r="J67" s="576"/>
      <c r="K67" s="576"/>
      <c r="L67" s="576"/>
      <c r="M67" s="576"/>
      <c r="N67" s="576"/>
      <c r="O67" s="576"/>
      <c r="P67" s="576"/>
      <c r="Q67" s="576"/>
      <c r="R67" s="576"/>
      <c r="S67" s="576"/>
      <c r="T67" s="576"/>
      <c r="U67" s="576"/>
      <c r="V67" s="576"/>
      <c r="W67" s="576"/>
      <c r="X67" s="576"/>
      <c r="Y67" s="98"/>
      <c r="Z67" s="98"/>
      <c r="AA67" s="98"/>
      <c r="AB67" s="98"/>
      <c r="AC67" s="98"/>
      <c r="AD67" s="98"/>
      <c r="AE67" s="576"/>
      <c r="AF67" s="576"/>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7"/>
    </row>
    <row r="68" spans="1:55" x14ac:dyDescent="0.2">
      <c r="A68" s="576"/>
      <c r="B68" s="98"/>
      <c r="C68" s="98"/>
      <c r="D68" s="98"/>
      <c r="E68" s="576"/>
      <c r="F68" s="576"/>
      <c r="G68" s="576"/>
      <c r="H68" s="576"/>
      <c r="I68" s="576"/>
      <c r="J68" s="576"/>
      <c r="K68" s="576"/>
      <c r="L68" s="576"/>
      <c r="M68" s="576"/>
      <c r="N68" s="576"/>
      <c r="O68" s="576"/>
      <c r="P68" s="576"/>
      <c r="Q68" s="576"/>
      <c r="R68" s="576"/>
      <c r="S68" s="576"/>
      <c r="T68" s="576"/>
      <c r="U68" s="576"/>
      <c r="V68" s="576"/>
      <c r="W68" s="576"/>
      <c r="X68" s="576"/>
      <c r="Y68" s="98"/>
      <c r="Z68" s="98"/>
      <c r="AA68" s="98"/>
      <c r="AB68" s="98"/>
      <c r="AC68" s="98"/>
      <c r="AD68" s="98"/>
      <c r="AE68" s="576"/>
      <c r="AF68" s="576"/>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7"/>
    </row>
    <row r="69" spans="1:55" x14ac:dyDescent="0.2">
      <c r="A69" s="576"/>
      <c r="B69" s="98"/>
      <c r="C69" s="98"/>
      <c r="D69" s="98"/>
      <c r="E69" s="576"/>
      <c r="F69" s="576"/>
      <c r="G69" s="576"/>
      <c r="H69" s="576"/>
      <c r="I69" s="576"/>
      <c r="J69" s="576"/>
      <c r="K69" s="576"/>
      <c r="L69" s="576"/>
      <c r="M69" s="576"/>
      <c r="N69" s="576"/>
      <c r="O69" s="576"/>
      <c r="P69" s="576"/>
      <c r="Q69" s="576"/>
      <c r="R69" s="576"/>
      <c r="S69" s="576"/>
      <c r="T69" s="576"/>
      <c r="U69" s="576"/>
      <c r="V69" s="576"/>
      <c r="W69" s="576"/>
      <c r="X69" s="576"/>
      <c r="Y69" s="98"/>
      <c r="Z69" s="98"/>
      <c r="AA69" s="98"/>
      <c r="AB69" s="98"/>
      <c r="AC69" s="98"/>
      <c r="AD69" s="98"/>
      <c r="AE69" s="576"/>
      <c r="AF69" s="576"/>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7"/>
    </row>
    <row r="70" spans="1:55" x14ac:dyDescent="0.2">
      <c r="A70" s="576"/>
      <c r="B70" s="98"/>
      <c r="C70" s="98"/>
      <c r="D70" s="98"/>
      <c r="E70" s="576"/>
      <c r="F70" s="576"/>
      <c r="G70" s="576"/>
      <c r="H70" s="576"/>
      <c r="I70" s="576"/>
      <c r="J70" s="576"/>
      <c r="K70" s="576"/>
      <c r="L70" s="576"/>
      <c r="M70" s="576"/>
      <c r="N70" s="576"/>
      <c r="O70" s="576"/>
      <c r="P70" s="576"/>
      <c r="Q70" s="576"/>
      <c r="R70" s="576"/>
      <c r="S70" s="576"/>
      <c r="T70" s="576"/>
      <c r="U70" s="576"/>
      <c r="V70" s="576"/>
      <c r="W70" s="576"/>
      <c r="X70" s="576"/>
      <c r="Y70" s="98"/>
      <c r="Z70" s="98"/>
      <c r="AA70" s="98"/>
      <c r="AB70" s="98"/>
      <c r="AC70" s="98"/>
      <c r="AD70" s="98"/>
      <c r="AE70" s="576"/>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7"/>
    </row>
    <row r="71" spans="1:55" x14ac:dyDescent="0.2">
      <c r="A71" s="576"/>
      <c r="B71" s="98"/>
      <c r="C71" s="98"/>
      <c r="D71" s="98"/>
      <c r="E71" s="576"/>
      <c r="F71" s="576"/>
      <c r="G71" s="576"/>
      <c r="H71" s="576"/>
      <c r="I71" s="576"/>
      <c r="J71" s="576"/>
      <c r="K71" s="576"/>
      <c r="L71" s="576"/>
      <c r="M71" s="576"/>
      <c r="N71" s="576"/>
      <c r="O71" s="576"/>
      <c r="P71" s="576"/>
      <c r="Q71" s="576"/>
      <c r="R71" s="576"/>
      <c r="S71" s="576"/>
      <c r="T71" s="576"/>
      <c r="U71" s="576"/>
      <c r="V71" s="576"/>
      <c r="W71" s="576"/>
      <c r="X71" s="576"/>
      <c r="Y71" s="98"/>
      <c r="Z71" s="98"/>
      <c r="AA71" s="98"/>
      <c r="AB71" s="98"/>
      <c r="AC71" s="98"/>
      <c r="AD71" s="98"/>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7"/>
    </row>
    <row r="72" spans="1:55" x14ac:dyDescent="0.2">
      <c r="A72" s="576"/>
      <c r="B72" s="98"/>
      <c r="C72" s="98"/>
      <c r="D72" s="98"/>
      <c r="E72" s="576"/>
      <c r="F72" s="576"/>
      <c r="G72" s="576"/>
      <c r="H72" s="576"/>
      <c r="I72" s="576"/>
      <c r="J72" s="576"/>
      <c r="K72" s="576"/>
      <c r="L72" s="576"/>
      <c r="M72" s="576"/>
      <c r="N72" s="576"/>
      <c r="O72" s="576"/>
      <c r="P72" s="576"/>
      <c r="Q72" s="576"/>
      <c r="R72" s="576"/>
      <c r="S72" s="576"/>
      <c r="T72" s="576"/>
      <c r="U72" s="576"/>
      <c r="V72" s="576"/>
      <c r="W72" s="576"/>
      <c r="X72" s="576"/>
      <c r="Y72" s="98"/>
      <c r="Z72" s="98"/>
      <c r="AA72" s="98"/>
      <c r="AB72" s="98"/>
      <c r="AC72" s="98"/>
      <c r="AD72" s="98"/>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7"/>
    </row>
    <row r="73" spans="1:55" x14ac:dyDescent="0.2">
      <c r="A73" s="576"/>
      <c r="B73" s="98"/>
      <c r="C73" s="98"/>
      <c r="D73" s="98"/>
      <c r="E73" s="576"/>
      <c r="F73" s="576"/>
      <c r="G73" s="576"/>
      <c r="H73" s="576"/>
      <c r="I73" s="576"/>
      <c r="J73" s="576"/>
      <c r="K73" s="576"/>
      <c r="L73" s="576"/>
      <c r="M73" s="576"/>
      <c r="N73" s="576"/>
      <c r="O73" s="576"/>
      <c r="P73" s="576"/>
      <c r="Q73" s="576"/>
      <c r="R73" s="576"/>
      <c r="S73" s="576"/>
      <c r="T73" s="576"/>
      <c r="U73" s="576"/>
      <c r="V73" s="576"/>
      <c r="W73" s="576"/>
      <c r="X73" s="576"/>
      <c r="Y73" s="98"/>
      <c r="Z73" s="98"/>
      <c r="AA73" s="98"/>
      <c r="AB73" s="98"/>
      <c r="AC73" s="98"/>
      <c r="AD73" s="98"/>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7"/>
    </row>
    <row r="74" spans="1:55" x14ac:dyDescent="0.2">
      <c r="A74" s="576"/>
      <c r="B74" s="98"/>
      <c r="C74" s="98"/>
      <c r="D74" s="98"/>
      <c r="E74" s="576"/>
      <c r="F74" s="576"/>
      <c r="G74" s="576"/>
      <c r="H74" s="576"/>
      <c r="I74" s="576"/>
      <c r="J74" s="576"/>
      <c r="K74" s="576"/>
      <c r="L74" s="576"/>
      <c r="M74" s="576"/>
      <c r="N74" s="576"/>
      <c r="O74" s="576"/>
      <c r="P74" s="576"/>
      <c r="Q74" s="576"/>
      <c r="R74" s="576"/>
      <c r="S74" s="576"/>
      <c r="T74" s="576"/>
      <c r="U74" s="576"/>
      <c r="V74" s="576"/>
      <c r="W74" s="576"/>
      <c r="X74" s="576"/>
      <c r="Y74" s="98"/>
      <c r="Z74" s="98"/>
      <c r="AA74" s="98"/>
      <c r="AB74" s="98"/>
      <c r="AC74" s="98"/>
      <c r="AD74" s="98"/>
      <c r="AE74" s="576"/>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7"/>
    </row>
    <row r="75" spans="1:55" x14ac:dyDescent="0.2">
      <c r="A75" s="576"/>
      <c r="B75" s="98"/>
      <c r="C75" s="98"/>
      <c r="D75" s="98"/>
      <c r="E75" s="576"/>
      <c r="F75" s="576"/>
      <c r="G75" s="576"/>
      <c r="H75" s="576"/>
      <c r="I75" s="576"/>
      <c r="J75" s="576"/>
      <c r="K75" s="576"/>
      <c r="L75" s="576"/>
      <c r="M75" s="576"/>
      <c r="N75" s="576"/>
      <c r="O75" s="576"/>
      <c r="P75" s="576"/>
      <c r="Q75" s="576"/>
      <c r="R75" s="576"/>
      <c r="S75" s="576"/>
      <c r="T75" s="576"/>
      <c r="U75" s="576"/>
      <c r="V75" s="576"/>
      <c r="W75" s="576"/>
      <c r="X75" s="576"/>
      <c r="Y75" s="98"/>
      <c r="Z75" s="98"/>
      <c r="AA75" s="98"/>
      <c r="AB75" s="98"/>
      <c r="AC75" s="98"/>
      <c r="AD75" s="98"/>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7"/>
    </row>
    <row r="76" spans="1:55" x14ac:dyDescent="0.2">
      <c r="A76" s="576"/>
      <c r="B76" s="98"/>
      <c r="C76" s="98"/>
      <c r="D76" s="98"/>
      <c r="E76" s="576"/>
      <c r="F76" s="576"/>
      <c r="G76" s="576"/>
      <c r="H76" s="576"/>
      <c r="I76" s="576"/>
      <c r="J76" s="576"/>
      <c r="K76" s="576"/>
      <c r="L76" s="576"/>
      <c r="M76" s="576"/>
      <c r="N76" s="576"/>
      <c r="O76" s="576"/>
      <c r="P76" s="576"/>
      <c r="Q76" s="576"/>
      <c r="R76" s="576"/>
      <c r="S76" s="576"/>
      <c r="T76" s="576"/>
      <c r="U76" s="576"/>
      <c r="V76" s="576"/>
      <c r="W76" s="576"/>
      <c r="X76" s="576"/>
      <c r="Y76" s="98"/>
      <c r="Z76" s="98"/>
      <c r="AA76" s="98"/>
      <c r="AB76" s="98"/>
      <c r="AC76" s="98"/>
      <c r="AD76" s="98"/>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7"/>
    </row>
    <row r="77" spans="1:55" x14ac:dyDescent="0.2">
      <c r="A77" s="576"/>
      <c r="B77" s="98"/>
      <c r="C77" s="98"/>
      <c r="D77" s="98"/>
      <c r="E77" s="576"/>
      <c r="F77" s="576"/>
      <c r="G77" s="576"/>
      <c r="H77" s="576"/>
      <c r="I77" s="576"/>
      <c r="J77" s="576"/>
      <c r="K77" s="576"/>
      <c r="L77" s="576"/>
      <c r="M77" s="576"/>
      <c r="N77" s="576"/>
      <c r="O77" s="576"/>
      <c r="P77" s="576"/>
      <c r="Q77" s="576"/>
      <c r="R77" s="576"/>
      <c r="S77" s="576"/>
      <c r="T77" s="576"/>
      <c r="U77" s="576"/>
      <c r="V77" s="576"/>
      <c r="W77" s="576"/>
      <c r="X77" s="576"/>
      <c r="Y77" s="98"/>
      <c r="Z77" s="98"/>
      <c r="AA77" s="98"/>
      <c r="AB77" s="98"/>
      <c r="AC77" s="98"/>
      <c r="AD77" s="98"/>
      <c r="AE77" s="576"/>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7"/>
    </row>
    <row r="78" spans="1:55" x14ac:dyDescent="0.2">
      <c r="A78" s="576"/>
      <c r="B78" s="98"/>
      <c r="C78" s="98"/>
      <c r="D78" s="98"/>
      <c r="E78" s="576"/>
      <c r="F78" s="576"/>
      <c r="G78" s="576"/>
      <c r="H78" s="576"/>
      <c r="I78" s="576"/>
      <c r="J78" s="576"/>
      <c r="K78" s="576"/>
      <c r="L78" s="576"/>
      <c r="M78" s="576"/>
      <c r="N78" s="576"/>
      <c r="O78" s="576"/>
      <c r="P78" s="576"/>
      <c r="Q78" s="576"/>
      <c r="R78" s="576"/>
      <c r="S78" s="576"/>
      <c r="T78" s="576"/>
      <c r="U78" s="576"/>
      <c r="V78" s="576"/>
      <c r="W78" s="576"/>
      <c r="X78" s="576"/>
      <c r="Y78" s="98"/>
      <c r="Z78" s="98"/>
      <c r="AA78" s="98"/>
      <c r="AB78" s="98"/>
      <c r="AC78" s="98"/>
      <c r="AD78" s="98"/>
      <c r="AE78" s="576"/>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7"/>
    </row>
    <row r="79" spans="1:55" x14ac:dyDescent="0.2">
      <c r="A79" s="576"/>
      <c r="B79" s="98"/>
      <c r="C79" s="98"/>
      <c r="D79" s="98"/>
      <c r="E79" s="576"/>
      <c r="F79" s="576"/>
      <c r="G79" s="576"/>
      <c r="H79" s="576"/>
      <c r="I79" s="576"/>
      <c r="J79" s="576"/>
      <c r="K79" s="576"/>
      <c r="L79" s="576"/>
      <c r="M79" s="576"/>
      <c r="N79" s="576"/>
      <c r="O79" s="576"/>
      <c r="P79" s="576"/>
      <c r="Q79" s="576"/>
      <c r="R79" s="576"/>
      <c r="S79" s="576"/>
      <c r="T79" s="576"/>
      <c r="U79" s="576"/>
      <c r="V79" s="576"/>
      <c r="W79" s="576"/>
      <c r="X79" s="576"/>
      <c r="Y79" s="98"/>
      <c r="Z79" s="98"/>
      <c r="AA79" s="98"/>
      <c r="AB79" s="98"/>
      <c r="AC79" s="98"/>
      <c r="AD79" s="98"/>
      <c r="AE79" s="576"/>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7"/>
    </row>
    <row r="80" spans="1:55" x14ac:dyDescent="0.2">
      <c r="A80" s="576"/>
      <c r="B80" s="98"/>
      <c r="C80" s="98"/>
      <c r="D80" s="98"/>
      <c r="E80" s="576"/>
      <c r="F80" s="576"/>
      <c r="G80" s="576"/>
      <c r="H80" s="576"/>
      <c r="I80" s="576"/>
      <c r="J80" s="576"/>
      <c r="K80" s="576"/>
      <c r="L80" s="576"/>
      <c r="M80" s="576"/>
      <c r="N80" s="576"/>
      <c r="O80" s="576"/>
      <c r="P80" s="576"/>
      <c r="Q80" s="576"/>
      <c r="R80" s="576"/>
      <c r="S80" s="576"/>
      <c r="T80" s="576"/>
      <c r="U80" s="576"/>
      <c r="V80" s="576"/>
      <c r="W80" s="576"/>
      <c r="X80" s="576"/>
      <c r="Y80" s="98"/>
      <c r="Z80" s="98"/>
      <c r="AA80" s="98"/>
      <c r="AB80" s="98"/>
      <c r="AC80" s="98"/>
      <c r="AD80" s="98"/>
      <c r="AE80" s="576"/>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7"/>
    </row>
    <row r="81" spans="1:55" x14ac:dyDescent="0.2">
      <c r="A81" s="576"/>
      <c r="B81" s="98"/>
      <c r="C81" s="98"/>
      <c r="D81" s="98"/>
      <c r="E81" s="576"/>
      <c r="F81" s="576"/>
      <c r="G81" s="576"/>
      <c r="H81" s="576"/>
      <c r="I81" s="576"/>
      <c r="J81" s="576"/>
      <c r="K81" s="576"/>
      <c r="L81" s="576"/>
      <c r="M81" s="576"/>
      <c r="N81" s="576"/>
      <c r="O81" s="576"/>
      <c r="P81" s="576"/>
      <c r="Q81" s="576"/>
      <c r="R81" s="576"/>
      <c r="S81" s="576"/>
      <c r="T81" s="576"/>
      <c r="U81" s="576"/>
      <c r="V81" s="576"/>
      <c r="W81" s="576"/>
      <c r="X81" s="576"/>
      <c r="Y81" s="98"/>
      <c r="Z81" s="98"/>
      <c r="AA81" s="98"/>
      <c r="AB81" s="98"/>
      <c r="AC81" s="98"/>
      <c r="AD81" s="98"/>
      <c r="AE81" s="576"/>
      <c r="AF81" s="576"/>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7"/>
    </row>
    <row r="82" spans="1:55" x14ac:dyDescent="0.2">
      <c r="A82" s="576"/>
      <c r="B82" s="98"/>
      <c r="C82" s="98"/>
      <c r="D82" s="98"/>
      <c r="E82" s="576"/>
      <c r="F82" s="576"/>
      <c r="G82" s="576"/>
      <c r="H82" s="576"/>
      <c r="I82" s="576"/>
      <c r="J82" s="576"/>
      <c r="K82" s="576"/>
      <c r="L82" s="576"/>
      <c r="M82" s="576"/>
      <c r="N82" s="576"/>
      <c r="O82" s="576"/>
      <c r="P82" s="576"/>
      <c r="Q82" s="576"/>
      <c r="R82" s="576"/>
      <c r="S82" s="576"/>
      <c r="T82" s="576"/>
      <c r="U82" s="576"/>
      <c r="V82" s="576"/>
      <c r="W82" s="576"/>
      <c r="X82" s="576"/>
      <c r="Y82" s="98"/>
      <c r="Z82" s="98"/>
      <c r="AA82" s="98"/>
      <c r="AB82" s="98"/>
      <c r="AC82" s="98"/>
      <c r="AD82" s="98"/>
      <c r="AE82" s="576"/>
      <c r="AF82" s="576"/>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7"/>
    </row>
    <row r="83" spans="1:55" x14ac:dyDescent="0.2">
      <c r="A83" s="576"/>
      <c r="B83" s="98"/>
      <c r="C83" s="98"/>
      <c r="D83" s="98"/>
      <c r="E83" s="576"/>
      <c r="F83" s="576"/>
      <c r="G83" s="576"/>
      <c r="H83" s="576"/>
      <c r="I83" s="576"/>
      <c r="J83" s="576"/>
      <c r="K83" s="576"/>
      <c r="L83" s="576"/>
      <c r="M83" s="576"/>
      <c r="N83" s="576"/>
      <c r="O83" s="576"/>
      <c r="P83" s="576"/>
      <c r="Q83" s="576"/>
      <c r="R83" s="576"/>
      <c r="S83" s="576"/>
      <c r="T83" s="576"/>
      <c r="U83" s="576"/>
      <c r="V83" s="576"/>
      <c r="W83" s="576"/>
      <c r="X83" s="576"/>
      <c r="Y83" s="98"/>
      <c r="Z83" s="98"/>
      <c r="AA83" s="98"/>
      <c r="AB83" s="98"/>
      <c r="AC83" s="98"/>
      <c r="AD83" s="98"/>
      <c r="AE83" s="576"/>
      <c r="AF83" s="576"/>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7"/>
    </row>
    <row r="84" spans="1:55" x14ac:dyDescent="0.2">
      <c r="A84" s="576"/>
      <c r="B84" s="98"/>
      <c r="C84" s="98"/>
      <c r="D84" s="98"/>
      <c r="E84" s="576"/>
      <c r="F84" s="576"/>
      <c r="G84" s="576"/>
      <c r="H84" s="576"/>
      <c r="I84" s="576"/>
      <c r="J84" s="576"/>
      <c r="K84" s="576"/>
      <c r="L84" s="576"/>
      <c r="M84" s="576"/>
      <c r="N84" s="576"/>
      <c r="O84" s="576"/>
      <c r="P84" s="576"/>
      <c r="Q84" s="576"/>
      <c r="R84" s="576"/>
      <c r="S84" s="576"/>
      <c r="T84" s="576"/>
      <c r="U84" s="576"/>
      <c r="V84" s="576"/>
      <c r="W84" s="576"/>
      <c r="X84" s="576"/>
      <c r="Y84" s="98"/>
      <c r="Z84" s="98"/>
      <c r="AA84" s="98"/>
      <c r="AB84" s="98"/>
      <c r="AC84" s="98"/>
      <c r="AD84" s="98"/>
      <c r="AE84" s="576"/>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7"/>
    </row>
    <row r="85" spans="1:55" x14ac:dyDescent="0.2">
      <c r="A85" s="576"/>
      <c r="B85" s="98"/>
      <c r="C85" s="98"/>
      <c r="D85" s="98"/>
      <c r="E85" s="576"/>
      <c r="F85" s="576"/>
      <c r="G85" s="576"/>
      <c r="H85" s="576"/>
      <c r="I85" s="576"/>
      <c r="J85" s="576"/>
      <c r="K85" s="576"/>
      <c r="L85" s="576"/>
      <c r="M85" s="576"/>
      <c r="N85" s="576"/>
      <c r="O85" s="576"/>
      <c r="P85" s="576"/>
      <c r="Q85" s="576"/>
      <c r="R85" s="576"/>
      <c r="S85" s="576"/>
      <c r="T85" s="576"/>
      <c r="U85" s="576"/>
      <c r="V85" s="576"/>
      <c r="W85" s="576"/>
      <c r="X85" s="576"/>
      <c r="Y85" s="98"/>
      <c r="Z85" s="98"/>
      <c r="AA85" s="98"/>
      <c r="AB85" s="98"/>
      <c r="AC85" s="98"/>
      <c r="AD85" s="98"/>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7"/>
    </row>
    <row r="86" spans="1:55" x14ac:dyDescent="0.2">
      <c r="A86" s="579"/>
      <c r="B86" s="100"/>
      <c r="C86" s="100"/>
      <c r="D86" s="100"/>
      <c r="E86" s="579"/>
      <c r="F86" s="579"/>
      <c r="G86" s="579"/>
      <c r="H86" s="579"/>
      <c r="I86" s="579"/>
      <c r="J86" s="579"/>
      <c r="K86" s="579"/>
      <c r="L86" s="579"/>
      <c r="M86" s="579"/>
      <c r="N86" s="579"/>
      <c r="O86" s="579"/>
      <c r="P86" s="579"/>
      <c r="Q86" s="579"/>
      <c r="R86" s="579"/>
      <c r="S86" s="579"/>
      <c r="T86" s="579"/>
      <c r="U86" s="579"/>
      <c r="V86" s="579"/>
      <c r="W86" s="579"/>
      <c r="X86" s="579"/>
      <c r="Y86" s="100"/>
      <c r="Z86" s="100"/>
      <c r="AA86" s="100"/>
      <c r="AB86" s="100"/>
      <c r="AC86" s="100"/>
      <c r="AD86" s="100"/>
      <c r="AE86" s="579"/>
      <c r="AF86" s="579"/>
      <c r="AG86" s="579"/>
      <c r="AH86" s="579"/>
      <c r="AI86" s="579"/>
      <c r="AJ86" s="579"/>
      <c r="AK86" s="579"/>
      <c r="AL86" s="579"/>
      <c r="AM86" s="579"/>
      <c r="AN86" s="579"/>
      <c r="AO86" s="579"/>
      <c r="AP86" s="579"/>
      <c r="AQ86" s="579"/>
      <c r="AR86" s="579"/>
      <c r="AS86" s="579"/>
      <c r="AT86" s="579"/>
      <c r="AU86" s="579"/>
      <c r="AV86" s="579"/>
      <c r="AW86" s="579"/>
      <c r="AX86" s="579"/>
      <c r="AY86" s="579"/>
      <c r="AZ86" s="579"/>
      <c r="BA86" s="579"/>
      <c r="BB86" s="579"/>
      <c r="BC86" s="580"/>
    </row>
  </sheetData>
  <sheetProtection algorithmName="SHA-512" hashValue="hrSSfduEUUHNKPbqbu3SAMKBfI4wZRka9C31WpUvJX+GStsSKH8lWyE6MSu0F1BBFOBf08ikR0c+M4LwQ3D7KQ==" saltValue="bJ36m4rGMMAmqmpgfaAxQA==" spinCount="100000" sheet="1" selectLockedCells="1"/>
  <dataConsolidate link="1"/>
  <mergeCells count="4">
    <mergeCell ref="Z7:Z18"/>
    <mergeCell ref="B7:B10"/>
    <mergeCell ref="B11:B14"/>
    <mergeCell ref="B15:B18"/>
  </mergeCells>
  <conditionalFormatting sqref="E4:X4 E7:X18">
    <cfRule type="notContainsBlanks" dxfId="2" priority="1">
      <formula>LEN(TRIM(E4))&gt;0</formula>
    </cfRule>
  </conditionalFormatting>
  <dataValidations count="1">
    <dataValidation type="whole" allowBlank="1" showInputMessage="1" showErrorMessage="1" errorTitle="Attenzione" error="Il servizio deve avere una durata minima di 1 mese e una durata massima di 48 mesi" sqref="E4:X4" xr:uid="{00000000-0002-0000-1B00-000000000000}">
      <formula1>1</formula1>
      <formula2>48</formula2>
    </dataValidation>
  </dataValidations>
  <pageMargins left="0.7" right="0.7" top="0.75" bottom="0.75" header="0.3" footer="0.3"/>
  <pageSetup paperSize="8"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24"/>
  <dimension ref="A1:BC90"/>
  <sheetViews>
    <sheetView zoomScale="120" zoomScaleNormal="120" workbookViewId="0">
      <pane xSplit="4" ySplit="6" topLeftCell="E7" activePane="bottomRight" state="frozen"/>
      <selection pane="topRight" activeCell="E1" sqref="E1"/>
      <selection pane="bottomLeft" activeCell="A7" sqref="A7"/>
      <selection pane="bottomRight" activeCell="E8" sqref="E8"/>
    </sheetView>
  </sheetViews>
  <sheetFormatPr defaultColWidth="9.140625" defaultRowHeight="11.25" x14ac:dyDescent="0.2"/>
  <cols>
    <col min="1" max="1" width="0.5703125" style="573" customWidth="1"/>
    <col min="2" max="2" width="10.140625" style="99" customWidth="1"/>
    <col min="3" max="3" width="32.85546875" style="99" customWidth="1"/>
    <col min="4" max="4" width="14.28515625" style="99" bestFit="1" customWidth="1"/>
    <col min="5" max="24" width="10.42578125" style="573" customWidth="1"/>
    <col min="25" max="25" width="12.42578125" style="99" bestFit="1" customWidth="1"/>
    <col min="26" max="26" width="5.140625" style="99" bestFit="1" customWidth="1"/>
    <col min="27" max="27" width="7.5703125" style="99" bestFit="1" customWidth="1"/>
    <col min="28" max="28" width="12.28515625" style="99" bestFit="1" customWidth="1"/>
    <col min="29" max="29" width="7.5703125" style="99" bestFit="1" customWidth="1"/>
    <col min="30" max="30" width="12.28515625" style="99" bestFit="1" customWidth="1"/>
    <col min="31" max="16384" width="9.140625" style="573"/>
  </cols>
  <sheetData>
    <row r="1" spans="1:55" ht="12" thickBot="1" x14ac:dyDescent="0.25"/>
    <row r="2" spans="1:55" s="264" customFormat="1" ht="12.75" thickBot="1" x14ac:dyDescent="0.3">
      <c r="E2" s="263" t="s">
        <v>308</v>
      </c>
      <c r="F2" s="263" t="s">
        <v>309</v>
      </c>
      <c r="G2" s="263" t="s">
        <v>310</v>
      </c>
      <c r="H2" s="263" t="s">
        <v>311</v>
      </c>
      <c r="I2" s="263" t="s">
        <v>312</v>
      </c>
      <c r="J2" s="263" t="s">
        <v>313</v>
      </c>
      <c r="K2" s="263" t="s">
        <v>314</v>
      </c>
      <c r="L2" s="263" t="s">
        <v>315</v>
      </c>
      <c r="M2" s="263" t="s">
        <v>316</v>
      </c>
      <c r="N2" s="263" t="s">
        <v>317</v>
      </c>
      <c r="O2" s="263" t="s">
        <v>318</v>
      </c>
      <c r="P2" s="263" t="s">
        <v>319</v>
      </c>
      <c r="Q2" s="263" t="s">
        <v>320</v>
      </c>
      <c r="R2" s="263" t="s">
        <v>321</v>
      </c>
      <c r="S2" s="263" t="s">
        <v>322</v>
      </c>
      <c r="T2" s="263" t="s">
        <v>323</v>
      </c>
      <c r="U2" s="263" t="s">
        <v>324</v>
      </c>
      <c r="V2" s="263" t="s">
        <v>325</v>
      </c>
      <c r="W2" s="263" t="s">
        <v>326</v>
      </c>
      <c r="X2" s="263" t="s">
        <v>327</v>
      </c>
    </row>
    <row r="3" spans="1:55" s="99" customFormat="1" ht="24.75" thickBot="1" x14ac:dyDescent="0.25">
      <c r="D3" s="124" t="s">
        <v>1170</v>
      </c>
      <c r="E3" s="487" t="str">
        <f>IF('Elenco immobili'!$C$4="","",'Elenco immobili'!$C$4)</f>
        <v>Sede ICE-AGID</v>
      </c>
      <c r="F3" s="487" t="str">
        <f>IF('Elenco immobili'!$C$5="","",'Elenco immobili'!$C$5)</f>
        <v/>
      </c>
      <c r="G3" s="487" t="str">
        <f>IF('Elenco immobili'!$C$6="","",'Elenco immobili'!$C$6)</f>
        <v/>
      </c>
      <c r="H3" s="487" t="str">
        <f>IF('Elenco immobili'!$C$7="","",'Elenco immobili'!$C$7)</f>
        <v/>
      </c>
      <c r="I3" s="487" t="str">
        <f>IF('Elenco immobili'!$C$8="","",'Elenco immobili'!$C$8)</f>
        <v/>
      </c>
      <c r="J3" s="487" t="str">
        <f>IF('Elenco immobili'!$C$9="","",'Elenco immobili'!$C$9)</f>
        <v/>
      </c>
      <c r="K3" s="487" t="str">
        <f>IF('Elenco immobili'!$C$10="","",'Elenco immobili'!$C$10)</f>
        <v/>
      </c>
      <c r="L3" s="487" t="str">
        <f>IF('Elenco immobili'!$C$11="","",'Elenco immobili'!$C$11)</f>
        <v/>
      </c>
      <c r="M3" s="487" t="str">
        <f>IF('Elenco immobili'!$C$12="","",'Elenco immobili'!$C$12)</f>
        <v/>
      </c>
      <c r="N3" s="487" t="str">
        <f>IF('Elenco immobili'!$C$13="","",'Elenco immobili'!$C$13)</f>
        <v/>
      </c>
      <c r="O3" s="487" t="str">
        <f>IF('Elenco immobili'!$C$14="","",'Elenco immobili'!$C$14)</f>
        <v/>
      </c>
      <c r="P3" s="487" t="str">
        <f>IF('Elenco immobili'!$C$15="","",'Elenco immobili'!$C$15)</f>
        <v/>
      </c>
      <c r="Q3" s="487" t="str">
        <f>IF('Elenco immobili'!$C$16="","",'Elenco immobili'!$C$16)</f>
        <v/>
      </c>
      <c r="R3" s="487" t="str">
        <f>IF('Elenco immobili'!$C$17="","",'Elenco immobili'!$C$17)</f>
        <v/>
      </c>
      <c r="S3" s="487" t="str">
        <f>IF('Elenco immobili'!$C$18="","",'Elenco immobili'!$C$18)</f>
        <v/>
      </c>
      <c r="T3" s="487" t="str">
        <f>IF('Elenco immobili'!$C$19="","",'Elenco immobili'!$C$19)</f>
        <v/>
      </c>
      <c r="U3" s="487" t="str">
        <f>IF('Elenco immobili'!$C$20="","",'Elenco immobili'!$C$20)</f>
        <v/>
      </c>
      <c r="V3" s="487" t="str">
        <f>IF('Elenco immobili'!$C$21="","",'Elenco immobili'!$C$21)</f>
        <v/>
      </c>
      <c r="W3" s="487" t="str">
        <f>IF('Elenco immobili'!$C$22="","",'Elenco immobili'!$C$22)</f>
        <v/>
      </c>
      <c r="X3" s="487" t="str">
        <f>IF('Elenco immobili'!$C$23="","",'Elenco immobili'!$C$23)</f>
        <v/>
      </c>
    </row>
    <row r="4" spans="1:55" ht="13.5" thickBot="1" x14ac:dyDescent="0.25">
      <c r="B4" s="105" t="s">
        <v>1137</v>
      </c>
      <c r="D4" s="125" t="s">
        <v>328</v>
      </c>
      <c r="E4" s="574"/>
      <c r="F4" s="574"/>
      <c r="G4" s="574"/>
      <c r="H4" s="574"/>
      <c r="I4" s="574"/>
      <c r="J4" s="574"/>
      <c r="K4" s="574"/>
      <c r="L4" s="574"/>
      <c r="M4" s="574"/>
      <c r="N4" s="574"/>
      <c r="O4" s="574"/>
      <c r="P4" s="574"/>
      <c r="Q4" s="574"/>
      <c r="R4" s="574"/>
      <c r="S4" s="574"/>
      <c r="T4" s="574"/>
      <c r="U4" s="574"/>
      <c r="V4" s="574"/>
      <c r="W4" s="574"/>
      <c r="X4" s="574"/>
    </row>
    <row r="5" spans="1:55" ht="3" customHeight="1" thickBot="1" x14ac:dyDescent="0.25">
      <c r="E5" s="102"/>
      <c r="F5" s="102"/>
      <c r="G5" s="102"/>
      <c r="H5" s="102"/>
      <c r="I5" s="102"/>
      <c r="J5" s="102"/>
      <c r="K5" s="102"/>
      <c r="L5" s="102"/>
      <c r="M5" s="102"/>
      <c r="N5" s="102"/>
      <c r="O5" s="102"/>
      <c r="P5" s="102"/>
      <c r="Q5" s="102"/>
      <c r="R5" s="102"/>
      <c r="S5" s="102"/>
      <c r="T5" s="102"/>
      <c r="U5" s="102"/>
      <c r="V5" s="102"/>
      <c r="W5" s="102"/>
      <c r="X5" s="102"/>
    </row>
    <row r="6" spans="1:55" s="99" customFormat="1" ht="57" thickBot="1" x14ac:dyDescent="0.25">
      <c r="A6" s="101"/>
      <c r="B6" s="123" t="s">
        <v>771</v>
      </c>
      <c r="C6" s="123" t="s">
        <v>253</v>
      </c>
      <c r="D6" s="123" t="s">
        <v>1174</v>
      </c>
      <c r="E6" s="588" t="s">
        <v>1164</v>
      </c>
      <c r="F6" s="588" t="s">
        <v>1164</v>
      </c>
      <c r="G6" s="588" t="s">
        <v>1164</v>
      </c>
      <c r="H6" s="588" t="s">
        <v>1164</v>
      </c>
      <c r="I6" s="588" t="s">
        <v>1164</v>
      </c>
      <c r="J6" s="588" t="s">
        <v>1164</v>
      </c>
      <c r="K6" s="588" t="s">
        <v>1164</v>
      </c>
      <c r="L6" s="588" t="s">
        <v>1164</v>
      </c>
      <c r="M6" s="588" t="s">
        <v>1164</v>
      </c>
      <c r="N6" s="588" t="s">
        <v>1164</v>
      </c>
      <c r="O6" s="588" t="s">
        <v>1164</v>
      </c>
      <c r="P6" s="588" t="s">
        <v>1164</v>
      </c>
      <c r="Q6" s="588" t="s">
        <v>1164</v>
      </c>
      <c r="R6" s="588" t="s">
        <v>1164</v>
      </c>
      <c r="S6" s="588" t="s">
        <v>1164</v>
      </c>
      <c r="T6" s="588" t="s">
        <v>1164</v>
      </c>
      <c r="U6" s="588" t="s">
        <v>1164</v>
      </c>
      <c r="V6" s="588" t="s">
        <v>1164</v>
      </c>
      <c r="W6" s="588" t="s">
        <v>1164</v>
      </c>
      <c r="X6" s="588" t="s">
        <v>1164</v>
      </c>
      <c r="Y6" s="127" t="s">
        <v>1187</v>
      </c>
      <c r="Z6" s="128" t="s">
        <v>51</v>
      </c>
      <c r="AA6" s="128" t="s">
        <v>143</v>
      </c>
      <c r="AB6" s="128" t="s">
        <v>1188</v>
      </c>
      <c r="AC6" s="128" t="s">
        <v>160</v>
      </c>
      <c r="AD6" s="128" t="s">
        <v>1189</v>
      </c>
      <c r="AE6" s="98"/>
      <c r="AF6" s="98"/>
      <c r="AG6" s="98"/>
      <c r="AH6" s="98"/>
      <c r="AI6" s="98"/>
      <c r="AJ6" s="98"/>
      <c r="AK6" s="98"/>
      <c r="AL6" s="98"/>
      <c r="AM6" s="98"/>
      <c r="AN6" s="98"/>
      <c r="AO6" s="98"/>
      <c r="AP6" s="98"/>
      <c r="AQ6" s="98"/>
      <c r="AR6" s="98"/>
      <c r="AS6" s="98"/>
      <c r="AT6" s="98"/>
      <c r="AU6" s="98"/>
      <c r="AV6" s="98"/>
      <c r="AW6" s="98"/>
      <c r="AX6" s="98"/>
      <c r="AY6" s="98"/>
      <c r="AZ6" s="98"/>
      <c r="BA6" s="98"/>
      <c r="BB6" s="98"/>
      <c r="BC6" s="96"/>
    </row>
    <row r="7" spans="1:55" ht="23.25" thickBot="1" x14ac:dyDescent="0.25">
      <c r="A7" s="575"/>
      <c r="B7" s="978" t="s">
        <v>1134</v>
      </c>
      <c r="C7" s="542" t="s">
        <v>1281</v>
      </c>
      <c r="D7" s="303" t="s">
        <v>773</v>
      </c>
      <c r="E7" s="849"/>
      <c r="F7" s="454"/>
      <c r="G7" s="454"/>
      <c r="H7" s="454"/>
      <c r="I7" s="454"/>
      <c r="J7" s="454"/>
      <c r="K7" s="454"/>
      <c r="L7" s="454"/>
      <c r="M7" s="454"/>
      <c r="N7" s="454"/>
      <c r="O7" s="454"/>
      <c r="P7" s="454"/>
      <c r="Q7" s="454"/>
      <c r="R7" s="454"/>
      <c r="S7" s="454"/>
      <c r="T7" s="454"/>
      <c r="U7" s="454"/>
      <c r="V7" s="454"/>
      <c r="W7" s="454"/>
      <c r="X7" s="454"/>
      <c r="Y7" s="785">
        <v>21.17</v>
      </c>
      <c r="Z7" s="1015" t="s">
        <v>64</v>
      </c>
      <c r="AA7" s="773">
        <f>'Ribassi PE'!$K$38</f>
        <v>7.0000000000000007E-2</v>
      </c>
      <c r="AB7" s="132">
        <f t="shared" ref="AB7" si="0">ROUND(Y7*(1-AA7),3)</f>
        <v>19.687999999999999</v>
      </c>
      <c r="AC7" s="133">
        <f>'Ribassi PE'!$M$38</f>
        <v>0.21</v>
      </c>
      <c r="AD7" s="132">
        <f t="shared" ref="AD7" si="1">ROUND(Y7*(1-AC7),3)</f>
        <v>16.724</v>
      </c>
      <c r="AE7" s="576"/>
      <c r="AF7" s="576"/>
      <c r="AG7" s="576"/>
      <c r="AH7" s="576"/>
      <c r="AI7" s="576"/>
      <c r="AJ7" s="576"/>
      <c r="AK7" s="576"/>
      <c r="AL7" s="576"/>
      <c r="AM7" s="576"/>
      <c r="AN7" s="576"/>
      <c r="AO7" s="576"/>
      <c r="AP7" s="576"/>
      <c r="AQ7" s="576"/>
      <c r="AR7" s="576"/>
      <c r="AS7" s="576"/>
      <c r="AT7" s="576"/>
      <c r="AU7" s="576"/>
      <c r="AV7" s="576"/>
      <c r="AW7" s="576"/>
      <c r="AX7" s="576"/>
      <c r="AY7" s="576"/>
      <c r="AZ7" s="576"/>
      <c r="BA7" s="576"/>
      <c r="BB7" s="576"/>
      <c r="BC7" s="577"/>
    </row>
    <row r="8" spans="1:55" ht="23.25" thickBot="1" x14ac:dyDescent="0.25">
      <c r="A8" s="575"/>
      <c r="B8" s="979"/>
      <c r="C8" s="757" t="s">
        <v>1282</v>
      </c>
      <c r="D8" s="763" t="s">
        <v>773</v>
      </c>
      <c r="E8" s="859"/>
      <c r="F8" s="461"/>
      <c r="G8" s="461"/>
      <c r="H8" s="461"/>
      <c r="I8" s="461"/>
      <c r="J8" s="461"/>
      <c r="K8" s="461"/>
      <c r="L8" s="461"/>
      <c r="M8" s="461"/>
      <c r="N8" s="461"/>
      <c r="O8" s="461"/>
      <c r="P8" s="461"/>
      <c r="Q8" s="461"/>
      <c r="R8" s="461"/>
      <c r="S8" s="461"/>
      <c r="T8" s="461"/>
      <c r="U8" s="461"/>
      <c r="V8" s="461"/>
      <c r="W8" s="461"/>
      <c r="X8" s="461"/>
      <c r="Y8" s="786">
        <f>Y7*1.3</f>
        <v>27.521000000000004</v>
      </c>
      <c r="Z8" s="1016"/>
      <c r="AA8" s="774">
        <f>'Ribassi PE'!$K$38</f>
        <v>7.0000000000000007E-2</v>
      </c>
      <c r="AB8" s="136">
        <f t="shared" ref="AB8:AB18" si="2">ROUND(Y8*(1-AA8),3)</f>
        <v>25.594999999999999</v>
      </c>
      <c r="AC8" s="135">
        <f>'Ribassi PE'!$M$38</f>
        <v>0.21</v>
      </c>
      <c r="AD8" s="136">
        <f t="shared" ref="AD8:AD18" si="3">ROUND(Y8*(1-AC8),3)</f>
        <v>21.742000000000001</v>
      </c>
      <c r="AE8" s="576"/>
      <c r="AF8" s="576"/>
      <c r="AG8" s="576"/>
      <c r="AH8" s="576"/>
      <c r="AI8" s="576"/>
      <c r="AJ8" s="576"/>
      <c r="AK8" s="576"/>
      <c r="AL8" s="576"/>
      <c r="AM8" s="576"/>
      <c r="AN8" s="576"/>
      <c r="AO8" s="576"/>
      <c r="AP8" s="576"/>
      <c r="AQ8" s="576"/>
      <c r="AR8" s="576"/>
      <c r="AS8" s="576"/>
      <c r="AT8" s="576"/>
      <c r="AU8" s="576"/>
      <c r="AV8" s="576"/>
      <c r="AW8" s="576"/>
      <c r="AX8" s="576"/>
      <c r="AY8" s="576"/>
      <c r="AZ8" s="576"/>
      <c r="BA8" s="576"/>
      <c r="BB8" s="576"/>
      <c r="BC8" s="577"/>
    </row>
    <row r="9" spans="1:55" ht="23.25" thickBot="1" x14ac:dyDescent="0.25">
      <c r="A9" s="575"/>
      <c r="B9" s="979"/>
      <c r="C9" s="757" t="s">
        <v>1283</v>
      </c>
      <c r="D9" s="763" t="s">
        <v>773</v>
      </c>
      <c r="E9" s="859"/>
      <c r="F9" s="461"/>
      <c r="G9" s="461"/>
      <c r="H9" s="461"/>
      <c r="I9" s="461"/>
      <c r="J9" s="461"/>
      <c r="K9" s="461"/>
      <c r="L9" s="461"/>
      <c r="M9" s="461"/>
      <c r="N9" s="461"/>
      <c r="O9" s="461"/>
      <c r="P9" s="461"/>
      <c r="Q9" s="461"/>
      <c r="R9" s="461"/>
      <c r="S9" s="461"/>
      <c r="T9" s="461"/>
      <c r="U9" s="461"/>
      <c r="V9" s="461"/>
      <c r="W9" s="461"/>
      <c r="X9" s="461"/>
      <c r="Y9" s="786">
        <f>Y7*1.65</f>
        <v>34.930500000000002</v>
      </c>
      <c r="Z9" s="1016"/>
      <c r="AA9" s="774">
        <f>'Ribassi PE'!$K$38</f>
        <v>7.0000000000000007E-2</v>
      </c>
      <c r="AB9" s="136">
        <f t="shared" si="2"/>
        <v>32.484999999999999</v>
      </c>
      <c r="AC9" s="135">
        <f>'Ribassi PE'!$M$38</f>
        <v>0.21</v>
      </c>
      <c r="AD9" s="136">
        <f t="shared" si="3"/>
        <v>27.594999999999999</v>
      </c>
      <c r="AE9" s="576"/>
      <c r="AF9" s="576"/>
      <c r="AG9" s="576"/>
      <c r="AH9" s="576"/>
      <c r="AI9" s="576"/>
      <c r="AJ9" s="576"/>
      <c r="AK9" s="576"/>
      <c r="AL9" s="576"/>
      <c r="AM9" s="576"/>
      <c r="AN9" s="576"/>
      <c r="AO9" s="576"/>
      <c r="AP9" s="576"/>
      <c r="AQ9" s="576"/>
      <c r="AR9" s="576"/>
      <c r="AS9" s="576"/>
      <c r="AT9" s="576"/>
      <c r="AU9" s="576"/>
      <c r="AV9" s="576"/>
      <c r="AW9" s="576"/>
      <c r="AX9" s="576"/>
      <c r="AY9" s="576"/>
      <c r="AZ9" s="576"/>
      <c r="BA9" s="576"/>
      <c r="BB9" s="576"/>
      <c r="BC9" s="577"/>
    </row>
    <row r="10" spans="1:55" ht="23.25" thickBot="1" x14ac:dyDescent="0.25">
      <c r="A10" s="575"/>
      <c r="B10" s="1090"/>
      <c r="C10" s="768" t="s">
        <v>1284</v>
      </c>
      <c r="D10" s="769" t="s">
        <v>773</v>
      </c>
      <c r="E10" s="848"/>
      <c r="F10" s="760"/>
      <c r="G10" s="760"/>
      <c r="H10" s="760"/>
      <c r="I10" s="760"/>
      <c r="J10" s="760"/>
      <c r="K10" s="760"/>
      <c r="L10" s="760"/>
      <c r="M10" s="760"/>
      <c r="N10" s="760"/>
      <c r="O10" s="760"/>
      <c r="P10" s="760"/>
      <c r="Q10" s="760"/>
      <c r="R10" s="760"/>
      <c r="S10" s="760"/>
      <c r="T10" s="760"/>
      <c r="U10" s="760"/>
      <c r="V10" s="760"/>
      <c r="W10" s="760"/>
      <c r="X10" s="760"/>
      <c r="Y10" s="787">
        <f>Y7*1.75</f>
        <v>37.047499999999999</v>
      </c>
      <c r="Z10" s="1016"/>
      <c r="AA10" s="775">
        <f>'Ribassi PE'!$K$38</f>
        <v>7.0000000000000007E-2</v>
      </c>
      <c r="AB10" s="139">
        <f t="shared" si="2"/>
        <v>34.454000000000001</v>
      </c>
      <c r="AC10" s="138">
        <f>'Ribassi PE'!$M$38</f>
        <v>0.21</v>
      </c>
      <c r="AD10" s="139">
        <f t="shared" si="3"/>
        <v>29.268000000000001</v>
      </c>
      <c r="AE10" s="576"/>
      <c r="AF10" s="576"/>
      <c r="AG10" s="576"/>
      <c r="AH10" s="576"/>
      <c r="AI10" s="576"/>
      <c r="AJ10" s="576"/>
      <c r="AK10" s="576"/>
      <c r="AL10" s="576"/>
      <c r="AM10" s="576"/>
      <c r="AN10" s="576"/>
      <c r="AO10" s="576"/>
      <c r="AP10" s="576"/>
      <c r="AQ10" s="576"/>
      <c r="AR10" s="576"/>
      <c r="AS10" s="576"/>
      <c r="AT10" s="576"/>
      <c r="AU10" s="576"/>
      <c r="AV10" s="576"/>
      <c r="AW10" s="576"/>
      <c r="AX10" s="576"/>
      <c r="AY10" s="576"/>
      <c r="AZ10" s="576"/>
      <c r="BA10" s="576"/>
      <c r="BB10" s="576"/>
      <c r="BC10" s="577"/>
    </row>
    <row r="11" spans="1:55" ht="23.25" thickBot="1" x14ac:dyDescent="0.25">
      <c r="A11" s="575"/>
      <c r="B11" s="978" t="s">
        <v>1135</v>
      </c>
      <c r="C11" s="542" t="s">
        <v>1285</v>
      </c>
      <c r="D11" s="303" t="s">
        <v>773</v>
      </c>
      <c r="E11" s="849"/>
      <c r="F11" s="454"/>
      <c r="G11" s="454"/>
      <c r="H11" s="454"/>
      <c r="I11" s="454"/>
      <c r="J11" s="454"/>
      <c r="K11" s="454"/>
      <c r="L11" s="454"/>
      <c r="M11" s="454"/>
      <c r="N11" s="454"/>
      <c r="O11" s="454"/>
      <c r="P11" s="454"/>
      <c r="Q11" s="454"/>
      <c r="R11" s="454"/>
      <c r="S11" s="454"/>
      <c r="T11" s="454"/>
      <c r="U11" s="454"/>
      <c r="V11" s="454"/>
      <c r="W11" s="454"/>
      <c r="X11" s="454"/>
      <c r="Y11" s="789">
        <v>22.23</v>
      </c>
      <c r="Z11" s="1016"/>
      <c r="AA11" s="778">
        <f>'Ribassi PE'!$K$38</f>
        <v>7.0000000000000007E-2</v>
      </c>
      <c r="AB11" s="250">
        <f t="shared" si="2"/>
        <v>20.673999999999999</v>
      </c>
      <c r="AC11" s="249">
        <f>'Ribassi PE'!$M$38</f>
        <v>0.21</v>
      </c>
      <c r="AD11" s="250">
        <f t="shared" si="3"/>
        <v>17.562000000000001</v>
      </c>
      <c r="AE11" s="576"/>
      <c r="AF11" s="576"/>
      <c r="AG11" s="576"/>
      <c r="AH11" s="576"/>
      <c r="AI11" s="576"/>
      <c r="AJ11" s="576"/>
      <c r="AK11" s="576"/>
      <c r="AL11" s="576"/>
      <c r="AM11" s="576"/>
      <c r="AN11" s="576"/>
      <c r="AO11" s="576"/>
      <c r="AP11" s="576"/>
      <c r="AQ11" s="576"/>
      <c r="AR11" s="576"/>
      <c r="AS11" s="576"/>
      <c r="AT11" s="576"/>
      <c r="AU11" s="576"/>
      <c r="AV11" s="576"/>
      <c r="AW11" s="576"/>
      <c r="AX11" s="576"/>
      <c r="AY11" s="576"/>
      <c r="AZ11" s="576"/>
      <c r="BA11" s="576"/>
      <c r="BB11" s="576"/>
      <c r="BC11" s="577"/>
    </row>
    <row r="12" spans="1:55" ht="23.25" thickBot="1" x14ac:dyDescent="0.25">
      <c r="A12" s="575"/>
      <c r="B12" s="979"/>
      <c r="C12" s="755" t="s">
        <v>1286</v>
      </c>
      <c r="D12" s="765" t="s">
        <v>773</v>
      </c>
      <c r="E12" s="858"/>
      <c r="F12" s="460"/>
      <c r="G12" s="460"/>
      <c r="H12" s="460"/>
      <c r="I12" s="460"/>
      <c r="J12" s="460"/>
      <c r="K12" s="460"/>
      <c r="L12" s="460"/>
      <c r="M12" s="460"/>
      <c r="N12" s="460"/>
      <c r="O12" s="460"/>
      <c r="P12" s="460"/>
      <c r="Q12" s="460"/>
      <c r="R12" s="460"/>
      <c r="S12" s="460"/>
      <c r="T12" s="460"/>
      <c r="U12" s="460"/>
      <c r="V12" s="460"/>
      <c r="W12" s="460"/>
      <c r="X12" s="460"/>
      <c r="Y12" s="782">
        <f>Y11*1.3</f>
        <v>28.899000000000001</v>
      </c>
      <c r="Z12" s="1016"/>
      <c r="AA12" s="774">
        <f>'Ribassi PE'!$K$38</f>
        <v>7.0000000000000007E-2</v>
      </c>
      <c r="AB12" s="136">
        <f t="shared" si="2"/>
        <v>26.876000000000001</v>
      </c>
      <c r="AC12" s="135">
        <f>'Ribassi PE'!$M$38</f>
        <v>0.21</v>
      </c>
      <c r="AD12" s="136">
        <f t="shared" si="3"/>
        <v>22.83</v>
      </c>
      <c r="AE12" s="576"/>
      <c r="AF12" s="576"/>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7"/>
    </row>
    <row r="13" spans="1:55" ht="23.25" thickBot="1" x14ac:dyDescent="0.25">
      <c r="A13" s="575"/>
      <c r="B13" s="979"/>
      <c r="C13" s="755" t="s">
        <v>1287</v>
      </c>
      <c r="D13" s="765" t="s">
        <v>773</v>
      </c>
      <c r="E13" s="858"/>
      <c r="F13" s="460"/>
      <c r="G13" s="460"/>
      <c r="H13" s="460"/>
      <c r="I13" s="460"/>
      <c r="J13" s="460"/>
      <c r="K13" s="460"/>
      <c r="L13" s="460"/>
      <c r="M13" s="460"/>
      <c r="N13" s="460"/>
      <c r="O13" s="460"/>
      <c r="P13" s="460"/>
      <c r="Q13" s="460"/>
      <c r="R13" s="460"/>
      <c r="S13" s="460"/>
      <c r="T13" s="460"/>
      <c r="U13" s="460"/>
      <c r="V13" s="460"/>
      <c r="W13" s="460"/>
      <c r="X13" s="460"/>
      <c r="Y13" s="782">
        <f>Y11*1.65</f>
        <v>36.679499999999997</v>
      </c>
      <c r="Z13" s="1016"/>
      <c r="AA13" s="774">
        <f>'Ribassi PE'!$K$38</f>
        <v>7.0000000000000007E-2</v>
      </c>
      <c r="AB13" s="136">
        <f t="shared" si="2"/>
        <v>34.112000000000002</v>
      </c>
      <c r="AC13" s="135">
        <f>'Ribassi PE'!$M$38</f>
        <v>0.21</v>
      </c>
      <c r="AD13" s="136">
        <f t="shared" si="3"/>
        <v>28.977</v>
      </c>
      <c r="AE13" s="576"/>
      <c r="AF13" s="576"/>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7"/>
    </row>
    <row r="14" spans="1:55" ht="23.25" thickBot="1" x14ac:dyDescent="0.25">
      <c r="A14" s="575"/>
      <c r="B14" s="1090"/>
      <c r="C14" s="544" t="s">
        <v>1288</v>
      </c>
      <c r="D14" s="301" t="s">
        <v>773</v>
      </c>
      <c r="E14" s="851"/>
      <c r="F14" s="456"/>
      <c r="G14" s="456"/>
      <c r="H14" s="456"/>
      <c r="I14" s="456"/>
      <c r="J14" s="456"/>
      <c r="K14" s="456"/>
      <c r="L14" s="456"/>
      <c r="M14" s="456"/>
      <c r="N14" s="456"/>
      <c r="O14" s="456"/>
      <c r="P14" s="456"/>
      <c r="Q14" s="456"/>
      <c r="R14" s="456"/>
      <c r="S14" s="456"/>
      <c r="T14" s="456"/>
      <c r="U14" s="456"/>
      <c r="V14" s="456"/>
      <c r="W14" s="456"/>
      <c r="X14" s="456"/>
      <c r="Y14" s="783">
        <f>Y11*1.75</f>
        <v>38.902500000000003</v>
      </c>
      <c r="Z14" s="1016"/>
      <c r="AA14" s="775">
        <f>'Ribassi PE'!$K$38</f>
        <v>7.0000000000000007E-2</v>
      </c>
      <c r="AB14" s="139">
        <f t="shared" si="2"/>
        <v>36.179000000000002</v>
      </c>
      <c r="AC14" s="138">
        <f>'Ribassi PE'!$M$38</f>
        <v>0.21</v>
      </c>
      <c r="AD14" s="139">
        <f t="shared" si="3"/>
        <v>30.733000000000001</v>
      </c>
      <c r="AE14" s="576"/>
      <c r="AF14" s="576"/>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7"/>
    </row>
    <row r="15" spans="1:55" ht="23.25" thickBot="1" x14ac:dyDescent="0.25">
      <c r="A15" s="575"/>
      <c r="B15" s="979" t="s">
        <v>1136</v>
      </c>
      <c r="C15" s="756" t="s">
        <v>1289</v>
      </c>
      <c r="D15" s="788" t="s">
        <v>773</v>
      </c>
      <c r="E15" s="857"/>
      <c r="F15" s="552"/>
      <c r="G15" s="552"/>
      <c r="H15" s="552"/>
      <c r="I15" s="552"/>
      <c r="J15" s="552"/>
      <c r="K15" s="552"/>
      <c r="L15" s="552"/>
      <c r="M15" s="552"/>
      <c r="N15" s="552"/>
      <c r="O15" s="552"/>
      <c r="P15" s="552"/>
      <c r="Q15" s="552"/>
      <c r="R15" s="552"/>
      <c r="S15" s="552"/>
      <c r="T15" s="552"/>
      <c r="U15" s="552"/>
      <c r="V15" s="552"/>
      <c r="W15" s="552"/>
      <c r="X15" s="552"/>
      <c r="Y15" s="290">
        <v>24.57</v>
      </c>
      <c r="Z15" s="1016"/>
      <c r="AA15" s="266">
        <f>'Ribassi PE'!$K$38</f>
        <v>7.0000000000000007E-2</v>
      </c>
      <c r="AB15" s="267">
        <f t="shared" si="2"/>
        <v>22.85</v>
      </c>
      <c r="AC15" s="266">
        <f>'Ribassi PE'!$M$38</f>
        <v>0.21</v>
      </c>
      <c r="AD15" s="267">
        <f t="shared" si="3"/>
        <v>19.41</v>
      </c>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7"/>
    </row>
    <row r="16" spans="1:55" ht="23.25" thickBot="1" x14ac:dyDescent="0.25">
      <c r="A16" s="575"/>
      <c r="B16" s="979"/>
      <c r="C16" s="755" t="s">
        <v>1290</v>
      </c>
      <c r="D16" s="765" t="s">
        <v>773</v>
      </c>
      <c r="E16" s="858"/>
      <c r="F16" s="460"/>
      <c r="G16" s="460"/>
      <c r="H16" s="460"/>
      <c r="I16" s="460"/>
      <c r="J16" s="460"/>
      <c r="K16" s="460"/>
      <c r="L16" s="460"/>
      <c r="M16" s="460"/>
      <c r="N16" s="460"/>
      <c r="O16" s="460"/>
      <c r="P16" s="460"/>
      <c r="Q16" s="460"/>
      <c r="R16" s="460"/>
      <c r="S16" s="460"/>
      <c r="T16" s="460"/>
      <c r="U16" s="460"/>
      <c r="V16" s="460"/>
      <c r="W16" s="460"/>
      <c r="X16" s="460"/>
      <c r="Y16" s="247">
        <f>Y15*1.3</f>
        <v>31.941000000000003</v>
      </c>
      <c r="Z16" s="1016"/>
      <c r="AA16" s="135">
        <f>'Ribassi PE'!$K$38</f>
        <v>7.0000000000000007E-2</v>
      </c>
      <c r="AB16" s="136">
        <f t="shared" si="2"/>
        <v>29.704999999999998</v>
      </c>
      <c r="AC16" s="135">
        <f>'Ribassi PE'!$M$38</f>
        <v>0.21</v>
      </c>
      <c r="AD16" s="136">
        <f t="shared" si="3"/>
        <v>25.233000000000001</v>
      </c>
      <c r="AE16" s="576"/>
      <c r="AF16" s="576"/>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7"/>
    </row>
    <row r="17" spans="1:55" ht="23.25" thickBot="1" x14ac:dyDescent="0.25">
      <c r="A17" s="575"/>
      <c r="B17" s="979"/>
      <c r="C17" s="755" t="s">
        <v>1291</v>
      </c>
      <c r="D17" s="765" t="s">
        <v>773</v>
      </c>
      <c r="E17" s="858"/>
      <c r="F17" s="460"/>
      <c r="G17" s="460"/>
      <c r="H17" s="460"/>
      <c r="I17" s="460"/>
      <c r="J17" s="460"/>
      <c r="K17" s="460"/>
      <c r="L17" s="460"/>
      <c r="M17" s="460"/>
      <c r="N17" s="460"/>
      <c r="O17" s="460"/>
      <c r="P17" s="460"/>
      <c r="Q17" s="460"/>
      <c r="R17" s="460"/>
      <c r="S17" s="460"/>
      <c r="T17" s="460"/>
      <c r="U17" s="460"/>
      <c r="V17" s="460"/>
      <c r="W17" s="460"/>
      <c r="X17" s="460"/>
      <c r="Y17" s="247">
        <f>Y15*1.65</f>
        <v>40.540500000000002</v>
      </c>
      <c r="Z17" s="1016"/>
      <c r="AA17" s="135">
        <f>'Ribassi PE'!$K$38</f>
        <v>7.0000000000000007E-2</v>
      </c>
      <c r="AB17" s="136">
        <f t="shared" si="2"/>
        <v>37.703000000000003</v>
      </c>
      <c r="AC17" s="135">
        <f>'Ribassi PE'!$M$38</f>
        <v>0.21</v>
      </c>
      <c r="AD17" s="136">
        <f t="shared" si="3"/>
        <v>32.027000000000001</v>
      </c>
      <c r="AE17" s="576"/>
      <c r="AF17" s="576"/>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7"/>
    </row>
    <row r="18" spans="1:55" ht="23.25" thickBot="1" x14ac:dyDescent="0.25">
      <c r="A18" s="578"/>
      <c r="B18" s="1090"/>
      <c r="C18" s="544" t="s">
        <v>1292</v>
      </c>
      <c r="D18" s="301" t="s">
        <v>773</v>
      </c>
      <c r="E18" s="851"/>
      <c r="F18" s="456"/>
      <c r="G18" s="456"/>
      <c r="H18" s="456"/>
      <c r="I18" s="456"/>
      <c r="J18" s="456"/>
      <c r="K18" s="456"/>
      <c r="L18" s="456"/>
      <c r="M18" s="456"/>
      <c r="N18" s="456"/>
      <c r="O18" s="456"/>
      <c r="P18" s="456"/>
      <c r="Q18" s="456"/>
      <c r="R18" s="456"/>
      <c r="S18" s="456"/>
      <c r="T18" s="456"/>
      <c r="U18" s="456"/>
      <c r="V18" s="456"/>
      <c r="W18" s="456"/>
      <c r="X18" s="456"/>
      <c r="Y18" s="137">
        <f>Y15*1.75</f>
        <v>42.997500000000002</v>
      </c>
      <c r="Z18" s="1017"/>
      <c r="AA18" s="138">
        <f>'Ribassi PE'!$K$38</f>
        <v>7.0000000000000007E-2</v>
      </c>
      <c r="AB18" s="139">
        <f t="shared" si="2"/>
        <v>39.988</v>
      </c>
      <c r="AC18" s="138">
        <f>'Ribassi PE'!$M$38</f>
        <v>0.21</v>
      </c>
      <c r="AD18" s="139">
        <f t="shared" si="3"/>
        <v>33.968000000000004</v>
      </c>
      <c r="AE18" s="576"/>
      <c r="AF18" s="576"/>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7"/>
    </row>
    <row r="19" spans="1:55" ht="23.25" thickBot="1" x14ac:dyDescent="0.25">
      <c r="A19" s="575"/>
      <c r="B19" s="540" t="s">
        <v>1138</v>
      </c>
      <c r="C19" s="339" t="s">
        <v>1139</v>
      </c>
      <c r="D19" s="303" t="s">
        <v>773</v>
      </c>
      <c r="E19" s="862"/>
      <c r="F19" s="454"/>
      <c r="G19" s="454"/>
      <c r="H19" s="454"/>
      <c r="I19" s="454"/>
      <c r="J19" s="454"/>
      <c r="K19" s="454"/>
      <c r="L19" s="454"/>
      <c r="M19" s="454"/>
      <c r="N19" s="454"/>
      <c r="O19" s="454"/>
      <c r="P19" s="454"/>
      <c r="Q19" s="454"/>
      <c r="R19" s="454"/>
      <c r="S19" s="454"/>
      <c r="T19" s="454"/>
      <c r="U19" s="454"/>
      <c r="V19" s="454"/>
      <c r="W19" s="454"/>
      <c r="X19" s="454"/>
      <c r="Y19" s="130">
        <v>12</v>
      </c>
      <c r="Z19" s="1015" t="s">
        <v>66</v>
      </c>
      <c r="AA19" s="131">
        <f>'Ribassi PE'!$K$39</f>
        <v>7.0000000000000007E-2</v>
      </c>
      <c r="AB19" s="132">
        <f t="shared" ref="AB19:AB22" si="4">ROUND(Y19*(1-AA19),3)</f>
        <v>11.16</v>
      </c>
      <c r="AC19" s="133">
        <f>'Ribassi PE'!$M$39</f>
        <v>0.2</v>
      </c>
      <c r="AD19" s="132">
        <f t="shared" ref="AD19:AD22" si="5">ROUND(Y19*(1-AC19),3)</f>
        <v>9.6</v>
      </c>
      <c r="AE19" s="576"/>
      <c r="AF19" s="576"/>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7"/>
    </row>
    <row r="20" spans="1:55" ht="23.25" thickBot="1" x14ac:dyDescent="0.25">
      <c r="A20" s="575"/>
      <c r="B20" s="541" t="s">
        <v>1140</v>
      </c>
      <c r="C20" s="340" t="s">
        <v>1141</v>
      </c>
      <c r="D20" s="299" t="s">
        <v>773</v>
      </c>
      <c r="E20" s="864"/>
      <c r="F20" s="455"/>
      <c r="G20" s="455"/>
      <c r="H20" s="455"/>
      <c r="I20" s="455"/>
      <c r="J20" s="455"/>
      <c r="K20" s="455"/>
      <c r="L20" s="455"/>
      <c r="M20" s="455"/>
      <c r="N20" s="455"/>
      <c r="O20" s="455"/>
      <c r="P20" s="455"/>
      <c r="Q20" s="455"/>
      <c r="R20" s="455"/>
      <c r="S20" s="455"/>
      <c r="T20" s="455"/>
      <c r="U20" s="455"/>
      <c r="V20" s="455"/>
      <c r="W20" s="455"/>
      <c r="X20" s="455"/>
      <c r="Y20" s="134">
        <v>15</v>
      </c>
      <c r="Z20" s="1016"/>
      <c r="AA20" s="135">
        <f>'Ribassi PE'!$K$39</f>
        <v>7.0000000000000007E-2</v>
      </c>
      <c r="AB20" s="136">
        <f t="shared" ref="AB20" si="6">ROUND(Y20*(1-AA20),3)</f>
        <v>13.95</v>
      </c>
      <c r="AC20" s="135">
        <f>'Ribassi PE'!$M$39</f>
        <v>0.2</v>
      </c>
      <c r="AD20" s="136">
        <f t="shared" ref="AD20" si="7">ROUND(Y20*(1-AC20),3)</f>
        <v>12</v>
      </c>
      <c r="AE20" s="576"/>
      <c r="AF20" s="576"/>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7"/>
    </row>
    <row r="21" spans="1:55" ht="23.25" thickBot="1" x14ac:dyDescent="0.25">
      <c r="A21" s="575"/>
      <c r="B21" s="541" t="s">
        <v>1142</v>
      </c>
      <c r="C21" s="340" t="s">
        <v>1143</v>
      </c>
      <c r="D21" s="299" t="s">
        <v>773</v>
      </c>
      <c r="E21" s="864"/>
      <c r="F21" s="455"/>
      <c r="G21" s="455"/>
      <c r="H21" s="455"/>
      <c r="I21" s="455"/>
      <c r="J21" s="455"/>
      <c r="K21" s="455"/>
      <c r="L21" s="455"/>
      <c r="M21" s="455"/>
      <c r="N21" s="455"/>
      <c r="O21" s="455"/>
      <c r="P21" s="455"/>
      <c r="Q21" s="455"/>
      <c r="R21" s="455"/>
      <c r="S21" s="455"/>
      <c r="T21" s="455"/>
      <c r="U21" s="455"/>
      <c r="V21" s="455"/>
      <c r="W21" s="455"/>
      <c r="X21" s="455"/>
      <c r="Y21" s="134">
        <v>19</v>
      </c>
      <c r="Z21" s="1016"/>
      <c r="AA21" s="135">
        <f>'Ribassi PE'!$K$39</f>
        <v>7.0000000000000007E-2</v>
      </c>
      <c r="AB21" s="136">
        <f t="shared" si="4"/>
        <v>17.670000000000002</v>
      </c>
      <c r="AC21" s="135">
        <f>'Ribassi PE'!$M$39</f>
        <v>0.2</v>
      </c>
      <c r="AD21" s="136">
        <f t="shared" si="5"/>
        <v>15.2</v>
      </c>
      <c r="AE21" s="576"/>
      <c r="AF21" s="576"/>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7"/>
    </row>
    <row r="22" spans="1:55" ht="23.25" thickBot="1" x14ac:dyDescent="0.25">
      <c r="A22" s="578"/>
      <c r="B22" s="548" t="s">
        <v>1144</v>
      </c>
      <c r="C22" s="341" t="s">
        <v>1145</v>
      </c>
      <c r="D22" s="301" t="s">
        <v>773</v>
      </c>
      <c r="E22" s="868"/>
      <c r="F22" s="456"/>
      <c r="G22" s="456"/>
      <c r="H22" s="456"/>
      <c r="I22" s="456"/>
      <c r="J22" s="456"/>
      <c r="K22" s="456"/>
      <c r="L22" s="456"/>
      <c r="M22" s="456"/>
      <c r="N22" s="456"/>
      <c r="O22" s="456"/>
      <c r="P22" s="456"/>
      <c r="Q22" s="456"/>
      <c r="R22" s="456"/>
      <c r="S22" s="456"/>
      <c r="T22" s="456"/>
      <c r="U22" s="456"/>
      <c r="V22" s="456"/>
      <c r="W22" s="456"/>
      <c r="X22" s="456"/>
      <c r="Y22" s="137">
        <v>23</v>
      </c>
      <c r="Z22" s="1017"/>
      <c r="AA22" s="138">
        <f>'Ribassi PE'!$K$39</f>
        <v>7.0000000000000007E-2</v>
      </c>
      <c r="AB22" s="139">
        <f t="shared" si="4"/>
        <v>21.39</v>
      </c>
      <c r="AC22" s="138">
        <f>'Ribassi PE'!$M$39</f>
        <v>0.2</v>
      </c>
      <c r="AD22" s="139">
        <f t="shared" si="5"/>
        <v>18.399999999999999</v>
      </c>
      <c r="AE22" s="576"/>
      <c r="AF22" s="576"/>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7"/>
    </row>
    <row r="23" spans="1:55" s="99" customFormat="1" ht="12.75" thickBot="1" x14ac:dyDescent="0.25">
      <c r="A23" s="98"/>
      <c r="B23" s="98"/>
      <c r="C23" s="98"/>
      <c r="D23" s="125" t="s">
        <v>329</v>
      </c>
      <c r="E23" s="126">
        <f>SUMPRODUCT(E7:E22,$Y$7:$Y$22)*E$4</f>
        <v>0</v>
      </c>
      <c r="F23" s="126">
        <f t="shared" ref="F23:X23" si="8">SUMPRODUCT(F7:F22,$Y$7:$Y$22)*F$4</f>
        <v>0</v>
      </c>
      <c r="G23" s="126">
        <f t="shared" si="8"/>
        <v>0</v>
      </c>
      <c r="H23" s="126">
        <f t="shared" si="8"/>
        <v>0</v>
      </c>
      <c r="I23" s="126">
        <f t="shared" si="8"/>
        <v>0</v>
      </c>
      <c r="J23" s="126">
        <f t="shared" si="8"/>
        <v>0</v>
      </c>
      <c r="K23" s="126">
        <f t="shared" si="8"/>
        <v>0</v>
      </c>
      <c r="L23" s="126">
        <f t="shared" si="8"/>
        <v>0</v>
      </c>
      <c r="M23" s="126">
        <f t="shared" si="8"/>
        <v>0</v>
      </c>
      <c r="N23" s="126">
        <f t="shared" si="8"/>
        <v>0</v>
      </c>
      <c r="O23" s="126">
        <f t="shared" si="8"/>
        <v>0</v>
      </c>
      <c r="P23" s="126">
        <f t="shared" si="8"/>
        <v>0</v>
      </c>
      <c r="Q23" s="126">
        <f t="shared" si="8"/>
        <v>0</v>
      </c>
      <c r="R23" s="126">
        <f t="shared" si="8"/>
        <v>0</v>
      </c>
      <c r="S23" s="126">
        <f t="shared" si="8"/>
        <v>0</v>
      </c>
      <c r="T23" s="126">
        <f t="shared" si="8"/>
        <v>0</v>
      </c>
      <c r="U23" s="126">
        <f t="shared" si="8"/>
        <v>0</v>
      </c>
      <c r="V23" s="126">
        <f t="shared" si="8"/>
        <v>0</v>
      </c>
      <c r="W23" s="126">
        <f t="shared" si="8"/>
        <v>0</v>
      </c>
      <c r="X23" s="126">
        <f t="shared" si="8"/>
        <v>0</v>
      </c>
      <c r="Y23" s="97"/>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6"/>
    </row>
    <row r="24" spans="1:55" s="99" customFormat="1" ht="12.75" thickBot="1" x14ac:dyDescent="0.25">
      <c r="A24" s="98"/>
      <c r="B24" s="98"/>
      <c r="C24" s="98"/>
      <c r="D24" s="581" t="s">
        <v>330</v>
      </c>
      <c r="E24" s="201">
        <f>SUMPRODUCT(E7:E22,$AB$7:$AB$22)*E$4</f>
        <v>0</v>
      </c>
      <c r="F24" s="201">
        <f t="shared" ref="F24:X24" si="9">SUMPRODUCT(F7:F22,$AB$7:$AB$22)*F$4</f>
        <v>0</v>
      </c>
      <c r="G24" s="201">
        <f t="shared" si="9"/>
        <v>0</v>
      </c>
      <c r="H24" s="201">
        <f t="shared" si="9"/>
        <v>0</v>
      </c>
      <c r="I24" s="201">
        <f t="shared" si="9"/>
        <v>0</v>
      </c>
      <c r="J24" s="201">
        <f t="shared" si="9"/>
        <v>0</v>
      </c>
      <c r="K24" s="201">
        <f t="shared" si="9"/>
        <v>0</v>
      </c>
      <c r="L24" s="201">
        <f t="shared" si="9"/>
        <v>0</v>
      </c>
      <c r="M24" s="201">
        <f t="shared" si="9"/>
        <v>0</v>
      </c>
      <c r="N24" s="201">
        <f t="shared" si="9"/>
        <v>0</v>
      </c>
      <c r="O24" s="201">
        <f t="shared" si="9"/>
        <v>0</v>
      </c>
      <c r="P24" s="201">
        <f t="shared" si="9"/>
        <v>0</v>
      </c>
      <c r="Q24" s="201">
        <f t="shared" si="9"/>
        <v>0</v>
      </c>
      <c r="R24" s="201">
        <f t="shared" si="9"/>
        <v>0</v>
      </c>
      <c r="S24" s="201">
        <f t="shared" si="9"/>
        <v>0</v>
      </c>
      <c r="T24" s="201">
        <f t="shared" si="9"/>
        <v>0</v>
      </c>
      <c r="U24" s="201">
        <f t="shared" si="9"/>
        <v>0</v>
      </c>
      <c r="V24" s="201">
        <f t="shared" si="9"/>
        <v>0</v>
      </c>
      <c r="W24" s="201">
        <f t="shared" si="9"/>
        <v>0</v>
      </c>
      <c r="X24" s="202">
        <f t="shared" si="9"/>
        <v>0</v>
      </c>
      <c r="Y24" s="97"/>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6"/>
    </row>
    <row r="25" spans="1:55" s="99" customFormat="1" ht="12.75" thickBot="1" x14ac:dyDescent="0.25">
      <c r="A25" s="98"/>
      <c r="B25" s="98"/>
      <c r="C25" s="98"/>
      <c r="D25" s="581" t="s">
        <v>331</v>
      </c>
      <c r="E25" s="201">
        <f>SUMPRODUCT(E7:E22,$AD$7:$AD$22)*E$4</f>
        <v>0</v>
      </c>
      <c r="F25" s="201">
        <f t="shared" ref="F25:X25" si="10">SUMPRODUCT(F7:F22,$AD$7:$AD$22)*F$4</f>
        <v>0</v>
      </c>
      <c r="G25" s="201">
        <f t="shared" si="10"/>
        <v>0</v>
      </c>
      <c r="H25" s="201">
        <f t="shared" si="10"/>
        <v>0</v>
      </c>
      <c r="I25" s="201">
        <f t="shared" si="10"/>
        <v>0</v>
      </c>
      <c r="J25" s="201">
        <f t="shared" si="10"/>
        <v>0</v>
      </c>
      <c r="K25" s="201">
        <f t="shared" si="10"/>
        <v>0</v>
      </c>
      <c r="L25" s="201">
        <f t="shared" si="10"/>
        <v>0</v>
      </c>
      <c r="M25" s="201">
        <f t="shared" si="10"/>
        <v>0</v>
      </c>
      <c r="N25" s="201">
        <f t="shared" si="10"/>
        <v>0</v>
      </c>
      <c r="O25" s="201">
        <f t="shared" si="10"/>
        <v>0</v>
      </c>
      <c r="P25" s="201">
        <f t="shared" si="10"/>
        <v>0</v>
      </c>
      <c r="Q25" s="201">
        <f t="shared" si="10"/>
        <v>0</v>
      </c>
      <c r="R25" s="201">
        <f t="shared" si="10"/>
        <v>0</v>
      </c>
      <c r="S25" s="201">
        <f t="shared" si="10"/>
        <v>0</v>
      </c>
      <c r="T25" s="201">
        <f t="shared" si="10"/>
        <v>0</v>
      </c>
      <c r="U25" s="201">
        <f t="shared" si="10"/>
        <v>0</v>
      </c>
      <c r="V25" s="201">
        <f t="shared" si="10"/>
        <v>0</v>
      </c>
      <c r="W25" s="201">
        <f t="shared" si="10"/>
        <v>0</v>
      </c>
      <c r="X25" s="202">
        <f t="shared" si="10"/>
        <v>0</v>
      </c>
      <c r="Y25" s="97"/>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6"/>
    </row>
    <row r="26" spans="1:55" x14ac:dyDescent="0.2">
      <c r="A26" s="576"/>
      <c r="B26" s="98"/>
      <c r="C26" s="98"/>
      <c r="D26" s="98"/>
      <c r="E26" s="576"/>
      <c r="F26" s="576"/>
      <c r="G26" s="576"/>
      <c r="H26" s="576"/>
      <c r="I26" s="576"/>
      <c r="J26" s="576"/>
      <c r="K26" s="576"/>
      <c r="L26" s="576"/>
      <c r="M26" s="576"/>
      <c r="N26" s="576"/>
      <c r="O26" s="576"/>
      <c r="P26" s="576"/>
      <c r="Q26" s="576"/>
      <c r="R26" s="576"/>
      <c r="S26" s="576"/>
      <c r="T26" s="576"/>
      <c r="U26" s="576"/>
      <c r="V26" s="576"/>
      <c r="W26" s="576"/>
      <c r="X26" s="576"/>
      <c r="Y26" s="98"/>
      <c r="Z26" s="98"/>
      <c r="AA26" s="98"/>
      <c r="AB26" s="98"/>
      <c r="AC26" s="98"/>
      <c r="AD26" s="98"/>
      <c r="AE26" s="576"/>
      <c r="AF26" s="576"/>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7"/>
    </row>
    <row r="27" spans="1:55" x14ac:dyDescent="0.2">
      <c r="A27" s="576"/>
      <c r="B27" s="98"/>
      <c r="C27" s="98"/>
      <c r="D27" s="98"/>
      <c r="E27" s="576"/>
      <c r="F27" s="576"/>
      <c r="G27" s="576"/>
      <c r="H27" s="576"/>
      <c r="I27" s="576"/>
      <c r="J27" s="576"/>
      <c r="K27" s="576"/>
      <c r="L27" s="576"/>
      <c r="M27" s="576"/>
      <c r="N27" s="576"/>
      <c r="O27" s="576"/>
      <c r="P27" s="576"/>
      <c r="Q27" s="576"/>
      <c r="R27" s="576"/>
      <c r="S27" s="576"/>
      <c r="T27" s="576"/>
      <c r="U27" s="576"/>
      <c r="V27" s="576"/>
      <c r="W27" s="576"/>
      <c r="X27" s="576"/>
      <c r="Y27" s="98"/>
      <c r="Z27" s="98"/>
      <c r="AA27" s="98"/>
      <c r="AB27" s="98"/>
      <c r="AC27" s="98"/>
      <c r="AD27" s="98"/>
      <c r="AE27" s="576"/>
      <c r="AF27" s="576"/>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7"/>
    </row>
    <row r="28" spans="1:55" x14ac:dyDescent="0.2">
      <c r="A28" s="576"/>
      <c r="B28" s="98"/>
      <c r="C28" s="98"/>
      <c r="D28" s="98"/>
      <c r="E28" s="576"/>
      <c r="F28" s="576"/>
      <c r="G28" s="576"/>
      <c r="H28" s="576"/>
      <c r="I28" s="576"/>
      <c r="J28" s="576"/>
      <c r="K28" s="576"/>
      <c r="L28" s="576"/>
      <c r="M28" s="576"/>
      <c r="N28" s="576"/>
      <c r="O28" s="576"/>
      <c r="P28" s="576"/>
      <c r="Q28" s="576"/>
      <c r="R28" s="576"/>
      <c r="S28" s="576"/>
      <c r="T28" s="576"/>
      <c r="U28" s="576"/>
      <c r="V28" s="576"/>
      <c r="W28" s="576"/>
      <c r="X28" s="576"/>
      <c r="Y28" s="98"/>
      <c r="Z28" s="98"/>
      <c r="AA28" s="98"/>
      <c r="AB28" s="98"/>
      <c r="AC28" s="98"/>
      <c r="AD28" s="98"/>
      <c r="AE28" s="576"/>
      <c r="AF28" s="576"/>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7"/>
    </row>
    <row r="29" spans="1:55" x14ac:dyDescent="0.2">
      <c r="A29" s="576"/>
      <c r="B29" s="98"/>
      <c r="C29" s="98"/>
      <c r="D29" s="98"/>
      <c r="E29" s="576"/>
      <c r="F29" s="576"/>
      <c r="G29" s="576"/>
      <c r="H29" s="576"/>
      <c r="I29" s="576"/>
      <c r="J29" s="576"/>
      <c r="K29" s="576"/>
      <c r="L29" s="576"/>
      <c r="M29" s="576"/>
      <c r="N29" s="576"/>
      <c r="O29" s="576"/>
      <c r="P29" s="576"/>
      <c r="Q29" s="576"/>
      <c r="R29" s="576"/>
      <c r="S29" s="576"/>
      <c r="T29" s="576"/>
      <c r="U29" s="576"/>
      <c r="V29" s="576"/>
      <c r="W29" s="576"/>
      <c r="X29" s="576"/>
      <c r="Y29" s="98"/>
      <c r="Z29" s="98"/>
      <c r="AA29" s="98"/>
      <c r="AB29" s="98"/>
      <c r="AC29" s="98"/>
      <c r="AD29" s="98"/>
      <c r="AE29" s="576"/>
      <c r="AF29" s="576"/>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7"/>
    </row>
    <row r="30" spans="1:55" x14ac:dyDescent="0.2">
      <c r="A30" s="576"/>
      <c r="B30" s="98"/>
      <c r="C30" s="98"/>
      <c r="D30" s="98"/>
      <c r="E30" s="576"/>
      <c r="F30" s="576"/>
      <c r="G30" s="576"/>
      <c r="H30" s="576"/>
      <c r="I30" s="576"/>
      <c r="J30" s="576"/>
      <c r="K30" s="576"/>
      <c r="L30" s="576"/>
      <c r="M30" s="576"/>
      <c r="N30" s="576"/>
      <c r="O30" s="576"/>
      <c r="P30" s="576"/>
      <c r="Q30" s="576"/>
      <c r="R30" s="576"/>
      <c r="S30" s="576"/>
      <c r="T30" s="576"/>
      <c r="U30" s="576"/>
      <c r="V30" s="576"/>
      <c r="W30" s="576"/>
      <c r="X30" s="576"/>
      <c r="Y30" s="98"/>
      <c r="Z30" s="98"/>
      <c r="AA30" s="98"/>
      <c r="AB30" s="98"/>
      <c r="AC30" s="98"/>
      <c r="AD30" s="98"/>
      <c r="AE30" s="576"/>
      <c r="AF30" s="576"/>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7"/>
    </row>
    <row r="31" spans="1:55" x14ac:dyDescent="0.2">
      <c r="A31" s="576"/>
      <c r="B31" s="98"/>
      <c r="C31" s="98"/>
      <c r="D31" s="98"/>
      <c r="E31" s="576"/>
      <c r="F31" s="576"/>
      <c r="G31" s="576"/>
      <c r="H31" s="576"/>
      <c r="I31" s="576"/>
      <c r="J31" s="576"/>
      <c r="K31" s="576"/>
      <c r="L31" s="576"/>
      <c r="M31" s="576"/>
      <c r="N31" s="576"/>
      <c r="O31" s="576"/>
      <c r="P31" s="576"/>
      <c r="Q31" s="576"/>
      <c r="R31" s="576"/>
      <c r="S31" s="576"/>
      <c r="T31" s="576"/>
      <c r="U31" s="576"/>
      <c r="V31" s="576"/>
      <c r="W31" s="576"/>
      <c r="X31" s="576"/>
      <c r="Y31" s="98"/>
      <c r="Z31" s="98"/>
      <c r="AA31" s="98"/>
      <c r="AB31" s="98"/>
      <c r="AC31" s="98"/>
      <c r="AD31" s="98"/>
      <c r="AE31" s="576"/>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7"/>
    </row>
    <row r="32" spans="1:55" x14ac:dyDescent="0.2">
      <c r="A32" s="576"/>
      <c r="B32" s="98"/>
      <c r="C32" s="98"/>
      <c r="D32" s="98"/>
      <c r="E32" s="576"/>
      <c r="F32" s="576"/>
      <c r="G32" s="576"/>
      <c r="H32" s="576"/>
      <c r="I32" s="576"/>
      <c r="J32" s="576"/>
      <c r="K32" s="576"/>
      <c r="L32" s="576"/>
      <c r="M32" s="576"/>
      <c r="N32" s="576"/>
      <c r="O32" s="576"/>
      <c r="P32" s="576"/>
      <c r="Q32" s="576"/>
      <c r="R32" s="576"/>
      <c r="S32" s="576"/>
      <c r="T32" s="576"/>
      <c r="U32" s="576"/>
      <c r="V32" s="576"/>
      <c r="W32" s="576"/>
      <c r="X32" s="576"/>
      <c r="Y32" s="98"/>
      <c r="Z32" s="98"/>
      <c r="AA32" s="98"/>
      <c r="AB32" s="98"/>
      <c r="AC32" s="98"/>
      <c r="AD32" s="98"/>
      <c r="AE32" s="576"/>
      <c r="AF32" s="576"/>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7"/>
    </row>
    <row r="33" spans="1:55" x14ac:dyDescent="0.2">
      <c r="A33" s="576"/>
      <c r="B33" s="98"/>
      <c r="C33" s="98"/>
      <c r="D33" s="98"/>
      <c r="E33" s="576"/>
      <c r="F33" s="576"/>
      <c r="G33" s="576"/>
      <c r="H33" s="576"/>
      <c r="I33" s="576"/>
      <c r="J33" s="576"/>
      <c r="K33" s="576"/>
      <c r="L33" s="576"/>
      <c r="M33" s="576"/>
      <c r="N33" s="576"/>
      <c r="O33" s="576"/>
      <c r="P33" s="576"/>
      <c r="Q33" s="576"/>
      <c r="R33" s="576"/>
      <c r="S33" s="576"/>
      <c r="T33" s="576"/>
      <c r="U33" s="576"/>
      <c r="V33" s="576"/>
      <c r="W33" s="576"/>
      <c r="X33" s="576"/>
      <c r="Y33" s="98"/>
      <c r="Z33" s="98"/>
      <c r="AA33" s="98"/>
      <c r="AB33" s="98"/>
      <c r="AC33" s="98"/>
      <c r="AD33" s="98"/>
      <c r="AE33" s="576"/>
      <c r="AF33" s="576"/>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7"/>
    </row>
    <row r="34" spans="1:55" x14ac:dyDescent="0.2">
      <c r="A34" s="576"/>
      <c r="B34" s="98"/>
      <c r="C34" s="98"/>
      <c r="D34" s="98"/>
      <c r="E34" s="576"/>
      <c r="F34" s="576"/>
      <c r="G34" s="576"/>
      <c r="H34" s="576"/>
      <c r="I34" s="576"/>
      <c r="J34" s="576"/>
      <c r="K34" s="576"/>
      <c r="L34" s="576"/>
      <c r="M34" s="576"/>
      <c r="N34" s="576"/>
      <c r="O34" s="576"/>
      <c r="P34" s="576"/>
      <c r="Q34" s="576"/>
      <c r="R34" s="576"/>
      <c r="S34" s="576"/>
      <c r="T34" s="576"/>
      <c r="U34" s="576"/>
      <c r="V34" s="576"/>
      <c r="W34" s="576"/>
      <c r="X34" s="576"/>
      <c r="Y34" s="98"/>
      <c r="Z34" s="98"/>
      <c r="AA34" s="98"/>
      <c r="AB34" s="98"/>
      <c r="AC34" s="98"/>
      <c r="AD34" s="98"/>
      <c r="AE34" s="576"/>
      <c r="AF34" s="576"/>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7"/>
    </row>
    <row r="35" spans="1:55" x14ac:dyDescent="0.2">
      <c r="A35" s="576"/>
      <c r="B35" s="98"/>
      <c r="C35" s="98"/>
      <c r="D35" s="98"/>
      <c r="E35" s="576"/>
      <c r="F35" s="576"/>
      <c r="G35" s="576"/>
      <c r="H35" s="576"/>
      <c r="I35" s="576"/>
      <c r="J35" s="576"/>
      <c r="K35" s="576"/>
      <c r="L35" s="576"/>
      <c r="M35" s="576"/>
      <c r="N35" s="576"/>
      <c r="O35" s="576"/>
      <c r="P35" s="576"/>
      <c r="Q35" s="576"/>
      <c r="R35" s="576"/>
      <c r="S35" s="576"/>
      <c r="T35" s="576"/>
      <c r="U35" s="576"/>
      <c r="V35" s="576"/>
      <c r="W35" s="576"/>
      <c r="X35" s="576"/>
      <c r="Y35" s="98"/>
      <c r="Z35" s="98"/>
      <c r="AA35" s="98"/>
      <c r="AB35" s="98"/>
      <c r="AC35" s="98"/>
      <c r="AD35" s="98"/>
      <c r="AE35" s="576"/>
      <c r="AF35" s="576"/>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7"/>
    </row>
    <row r="36" spans="1:55" x14ac:dyDescent="0.2">
      <c r="A36" s="576"/>
      <c r="B36" s="98"/>
      <c r="C36" s="98"/>
      <c r="D36" s="98"/>
      <c r="E36" s="576"/>
      <c r="F36" s="576"/>
      <c r="G36" s="576"/>
      <c r="H36" s="576"/>
      <c r="I36" s="576"/>
      <c r="J36" s="576"/>
      <c r="K36" s="576"/>
      <c r="L36" s="576"/>
      <c r="M36" s="576"/>
      <c r="N36" s="576"/>
      <c r="O36" s="576"/>
      <c r="P36" s="576"/>
      <c r="Q36" s="576"/>
      <c r="R36" s="576"/>
      <c r="S36" s="576"/>
      <c r="T36" s="576"/>
      <c r="U36" s="576"/>
      <c r="V36" s="576"/>
      <c r="W36" s="576"/>
      <c r="X36" s="576"/>
      <c r="Y36" s="98"/>
      <c r="Z36" s="98"/>
      <c r="AA36" s="98"/>
      <c r="AB36" s="98"/>
      <c r="AC36" s="98"/>
      <c r="AD36" s="98"/>
      <c r="AE36" s="576"/>
      <c r="AF36" s="576"/>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7"/>
    </row>
    <row r="37" spans="1:55" x14ac:dyDescent="0.2">
      <c r="A37" s="576"/>
      <c r="B37" s="98"/>
      <c r="C37" s="98"/>
      <c r="D37" s="98"/>
      <c r="E37" s="576"/>
      <c r="F37" s="576"/>
      <c r="G37" s="576"/>
      <c r="H37" s="576"/>
      <c r="I37" s="576"/>
      <c r="J37" s="576"/>
      <c r="K37" s="576"/>
      <c r="L37" s="576"/>
      <c r="M37" s="576"/>
      <c r="N37" s="576"/>
      <c r="O37" s="576"/>
      <c r="P37" s="576"/>
      <c r="Q37" s="576"/>
      <c r="R37" s="576"/>
      <c r="S37" s="576"/>
      <c r="T37" s="576"/>
      <c r="U37" s="576"/>
      <c r="V37" s="576"/>
      <c r="W37" s="576"/>
      <c r="X37" s="576"/>
      <c r="Y37" s="98"/>
      <c r="Z37" s="98"/>
      <c r="AA37" s="98"/>
      <c r="AB37" s="98"/>
      <c r="AC37" s="98"/>
      <c r="AD37" s="98"/>
      <c r="AE37" s="576"/>
      <c r="AF37" s="576"/>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7"/>
    </row>
    <row r="38" spans="1:55" x14ac:dyDescent="0.2">
      <c r="A38" s="576"/>
      <c r="B38" s="98"/>
      <c r="C38" s="98"/>
      <c r="D38" s="98"/>
      <c r="E38" s="576"/>
      <c r="F38" s="576"/>
      <c r="G38" s="576"/>
      <c r="H38" s="576"/>
      <c r="I38" s="576"/>
      <c r="J38" s="576"/>
      <c r="K38" s="576"/>
      <c r="L38" s="576"/>
      <c r="M38" s="576"/>
      <c r="N38" s="576"/>
      <c r="O38" s="576"/>
      <c r="P38" s="576"/>
      <c r="Q38" s="576"/>
      <c r="R38" s="576"/>
      <c r="S38" s="576"/>
      <c r="T38" s="576"/>
      <c r="U38" s="576"/>
      <c r="V38" s="576"/>
      <c r="W38" s="576"/>
      <c r="X38" s="576"/>
      <c r="Y38" s="98"/>
      <c r="Z38" s="98"/>
      <c r="AA38" s="98"/>
      <c r="AB38" s="98"/>
      <c r="AC38" s="98"/>
      <c r="AD38" s="98"/>
      <c r="AE38" s="576"/>
      <c r="AF38" s="576"/>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7"/>
    </row>
    <row r="39" spans="1:55" x14ac:dyDescent="0.2">
      <c r="A39" s="576"/>
      <c r="B39" s="98"/>
      <c r="C39" s="98"/>
      <c r="D39" s="98"/>
      <c r="E39" s="576"/>
      <c r="F39" s="576"/>
      <c r="G39" s="576"/>
      <c r="H39" s="576"/>
      <c r="I39" s="576"/>
      <c r="J39" s="576"/>
      <c r="K39" s="576"/>
      <c r="L39" s="576"/>
      <c r="M39" s="576"/>
      <c r="N39" s="576"/>
      <c r="O39" s="576"/>
      <c r="P39" s="576"/>
      <c r="Q39" s="576"/>
      <c r="R39" s="576"/>
      <c r="S39" s="576"/>
      <c r="T39" s="576"/>
      <c r="U39" s="576"/>
      <c r="V39" s="576"/>
      <c r="W39" s="576"/>
      <c r="X39" s="576"/>
      <c r="Y39" s="98"/>
      <c r="Z39" s="98"/>
      <c r="AA39" s="98"/>
      <c r="AB39" s="98"/>
      <c r="AC39" s="98"/>
      <c r="AD39" s="98"/>
      <c r="AE39" s="576"/>
      <c r="AF39" s="576"/>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7"/>
    </row>
    <row r="40" spans="1:55" x14ac:dyDescent="0.2">
      <c r="A40" s="576"/>
      <c r="B40" s="98"/>
      <c r="C40" s="98"/>
      <c r="D40" s="98"/>
      <c r="E40" s="576"/>
      <c r="F40" s="576"/>
      <c r="G40" s="576"/>
      <c r="H40" s="576"/>
      <c r="I40" s="576"/>
      <c r="J40" s="576"/>
      <c r="K40" s="576"/>
      <c r="L40" s="576"/>
      <c r="M40" s="576"/>
      <c r="N40" s="576"/>
      <c r="O40" s="576"/>
      <c r="P40" s="576"/>
      <c r="Q40" s="576"/>
      <c r="R40" s="576"/>
      <c r="S40" s="576"/>
      <c r="T40" s="576"/>
      <c r="U40" s="576"/>
      <c r="V40" s="576"/>
      <c r="W40" s="576"/>
      <c r="X40" s="576"/>
      <c r="Y40" s="98"/>
      <c r="Z40" s="98"/>
      <c r="AA40" s="98"/>
      <c r="AB40" s="98"/>
      <c r="AC40" s="98"/>
      <c r="AD40" s="98"/>
      <c r="AE40" s="576"/>
      <c r="AF40" s="576"/>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7"/>
    </row>
    <row r="41" spans="1:55" x14ac:dyDescent="0.2">
      <c r="A41" s="576"/>
      <c r="B41" s="98"/>
      <c r="C41" s="98"/>
      <c r="D41" s="98"/>
      <c r="E41" s="576"/>
      <c r="F41" s="576"/>
      <c r="G41" s="576"/>
      <c r="H41" s="576"/>
      <c r="I41" s="576"/>
      <c r="J41" s="576"/>
      <c r="K41" s="576"/>
      <c r="L41" s="576"/>
      <c r="M41" s="576"/>
      <c r="N41" s="576"/>
      <c r="O41" s="576"/>
      <c r="P41" s="576"/>
      <c r="Q41" s="576"/>
      <c r="R41" s="576"/>
      <c r="S41" s="576"/>
      <c r="T41" s="576"/>
      <c r="U41" s="576"/>
      <c r="V41" s="576"/>
      <c r="W41" s="576"/>
      <c r="X41" s="576"/>
      <c r="Y41" s="98"/>
      <c r="Z41" s="98"/>
      <c r="AA41" s="98"/>
      <c r="AB41" s="98"/>
      <c r="AC41" s="98"/>
      <c r="AD41" s="98"/>
      <c r="AE41" s="576"/>
      <c r="AF41" s="576"/>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7"/>
    </row>
    <row r="42" spans="1:55" x14ac:dyDescent="0.2">
      <c r="A42" s="576"/>
      <c r="B42" s="98"/>
      <c r="C42" s="98"/>
      <c r="D42" s="98"/>
      <c r="E42" s="576"/>
      <c r="F42" s="576"/>
      <c r="G42" s="576"/>
      <c r="H42" s="576"/>
      <c r="I42" s="576"/>
      <c r="J42" s="576"/>
      <c r="K42" s="576"/>
      <c r="L42" s="576"/>
      <c r="M42" s="576"/>
      <c r="N42" s="576"/>
      <c r="O42" s="576"/>
      <c r="P42" s="576"/>
      <c r="Q42" s="576"/>
      <c r="R42" s="576"/>
      <c r="S42" s="576"/>
      <c r="T42" s="576"/>
      <c r="U42" s="576"/>
      <c r="V42" s="576"/>
      <c r="W42" s="576"/>
      <c r="X42" s="576"/>
      <c r="Y42" s="98"/>
      <c r="Z42" s="98"/>
      <c r="AA42" s="98"/>
      <c r="AB42" s="98"/>
      <c r="AC42" s="98"/>
      <c r="AD42" s="98"/>
      <c r="AE42" s="576"/>
      <c r="AF42" s="576"/>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7"/>
    </row>
    <row r="43" spans="1:55" x14ac:dyDescent="0.2">
      <c r="A43" s="576"/>
      <c r="B43" s="98"/>
      <c r="C43" s="98"/>
      <c r="D43" s="98"/>
      <c r="E43" s="576"/>
      <c r="F43" s="576"/>
      <c r="G43" s="576"/>
      <c r="H43" s="576"/>
      <c r="I43" s="576"/>
      <c r="J43" s="576"/>
      <c r="K43" s="576"/>
      <c r="L43" s="576"/>
      <c r="M43" s="576"/>
      <c r="N43" s="576"/>
      <c r="O43" s="576"/>
      <c r="P43" s="576"/>
      <c r="Q43" s="576"/>
      <c r="R43" s="576"/>
      <c r="S43" s="576"/>
      <c r="T43" s="576"/>
      <c r="U43" s="576"/>
      <c r="V43" s="576"/>
      <c r="W43" s="576"/>
      <c r="X43" s="576"/>
      <c r="Y43" s="98"/>
      <c r="Z43" s="98"/>
      <c r="AA43" s="98"/>
      <c r="AB43" s="98"/>
      <c r="AC43" s="98"/>
      <c r="AD43" s="98"/>
      <c r="AE43" s="576"/>
      <c r="AF43" s="576"/>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7"/>
    </row>
    <row r="44" spans="1:55" x14ac:dyDescent="0.2">
      <c r="A44" s="576"/>
      <c r="B44" s="98"/>
      <c r="C44" s="98"/>
      <c r="D44" s="98"/>
      <c r="E44" s="576"/>
      <c r="F44" s="576"/>
      <c r="G44" s="576"/>
      <c r="H44" s="576"/>
      <c r="I44" s="576"/>
      <c r="J44" s="576"/>
      <c r="K44" s="576"/>
      <c r="L44" s="576"/>
      <c r="M44" s="576"/>
      <c r="N44" s="576"/>
      <c r="O44" s="576"/>
      <c r="P44" s="576"/>
      <c r="Q44" s="576"/>
      <c r="R44" s="576"/>
      <c r="S44" s="576"/>
      <c r="T44" s="576"/>
      <c r="U44" s="576"/>
      <c r="V44" s="576"/>
      <c r="W44" s="576"/>
      <c r="X44" s="576"/>
      <c r="Y44" s="98"/>
      <c r="Z44" s="98"/>
      <c r="AA44" s="98"/>
      <c r="AB44" s="98"/>
      <c r="AC44" s="98"/>
      <c r="AD44" s="98"/>
      <c r="AE44" s="576"/>
      <c r="AF44" s="576"/>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7"/>
    </row>
    <row r="45" spans="1:55" x14ac:dyDescent="0.2">
      <c r="A45" s="576"/>
      <c r="B45" s="98"/>
      <c r="C45" s="98"/>
      <c r="D45" s="98"/>
      <c r="E45" s="576"/>
      <c r="F45" s="576"/>
      <c r="G45" s="576"/>
      <c r="H45" s="576"/>
      <c r="I45" s="576"/>
      <c r="J45" s="576"/>
      <c r="K45" s="576"/>
      <c r="L45" s="576"/>
      <c r="M45" s="576"/>
      <c r="N45" s="576"/>
      <c r="O45" s="576"/>
      <c r="P45" s="576"/>
      <c r="Q45" s="576"/>
      <c r="R45" s="576"/>
      <c r="S45" s="576"/>
      <c r="T45" s="576"/>
      <c r="U45" s="576"/>
      <c r="V45" s="576"/>
      <c r="W45" s="576"/>
      <c r="X45" s="576"/>
      <c r="Y45" s="98"/>
      <c r="Z45" s="98"/>
      <c r="AA45" s="98"/>
      <c r="AB45" s="98"/>
      <c r="AC45" s="98"/>
      <c r="AD45" s="98"/>
      <c r="AE45" s="576"/>
      <c r="AF45" s="576"/>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7"/>
    </row>
    <row r="46" spans="1:55" x14ac:dyDescent="0.2">
      <c r="A46" s="576"/>
      <c r="B46" s="98"/>
      <c r="C46" s="98"/>
      <c r="D46" s="98"/>
      <c r="E46" s="576"/>
      <c r="F46" s="576"/>
      <c r="G46" s="576"/>
      <c r="H46" s="576"/>
      <c r="I46" s="576"/>
      <c r="J46" s="576"/>
      <c r="K46" s="576"/>
      <c r="L46" s="576"/>
      <c r="M46" s="576"/>
      <c r="N46" s="576"/>
      <c r="O46" s="576"/>
      <c r="P46" s="576"/>
      <c r="Q46" s="576"/>
      <c r="R46" s="576"/>
      <c r="S46" s="576"/>
      <c r="T46" s="576"/>
      <c r="U46" s="576"/>
      <c r="V46" s="576"/>
      <c r="W46" s="576"/>
      <c r="X46" s="576"/>
      <c r="Y46" s="98"/>
      <c r="Z46" s="98"/>
      <c r="AA46" s="98"/>
      <c r="AB46" s="98"/>
      <c r="AC46" s="98"/>
      <c r="AD46" s="98"/>
      <c r="AE46" s="576"/>
      <c r="AF46" s="576"/>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7"/>
    </row>
    <row r="47" spans="1:55" x14ac:dyDescent="0.2">
      <c r="A47" s="576"/>
      <c r="B47" s="98"/>
      <c r="C47" s="98"/>
      <c r="D47" s="98"/>
      <c r="E47" s="576"/>
      <c r="F47" s="576"/>
      <c r="G47" s="576"/>
      <c r="H47" s="576"/>
      <c r="I47" s="576"/>
      <c r="J47" s="576"/>
      <c r="K47" s="576"/>
      <c r="L47" s="576"/>
      <c r="M47" s="576"/>
      <c r="N47" s="576"/>
      <c r="O47" s="576"/>
      <c r="P47" s="576"/>
      <c r="Q47" s="576"/>
      <c r="R47" s="576"/>
      <c r="S47" s="576"/>
      <c r="T47" s="576"/>
      <c r="U47" s="576"/>
      <c r="V47" s="576"/>
      <c r="W47" s="576"/>
      <c r="X47" s="576"/>
      <c r="Y47" s="98"/>
      <c r="Z47" s="98"/>
      <c r="AA47" s="98"/>
      <c r="AB47" s="98"/>
      <c r="AC47" s="98"/>
      <c r="AD47" s="98"/>
      <c r="AE47" s="576"/>
      <c r="AF47" s="576"/>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7"/>
    </row>
    <row r="48" spans="1:55" x14ac:dyDescent="0.2">
      <c r="A48" s="576"/>
      <c r="B48" s="98"/>
      <c r="C48" s="98"/>
      <c r="D48" s="98"/>
      <c r="E48" s="576"/>
      <c r="F48" s="576"/>
      <c r="G48" s="576"/>
      <c r="H48" s="576"/>
      <c r="I48" s="576"/>
      <c r="J48" s="576"/>
      <c r="K48" s="576"/>
      <c r="L48" s="576"/>
      <c r="M48" s="576"/>
      <c r="N48" s="576"/>
      <c r="O48" s="576"/>
      <c r="P48" s="576"/>
      <c r="Q48" s="576"/>
      <c r="R48" s="576"/>
      <c r="S48" s="576"/>
      <c r="T48" s="576"/>
      <c r="U48" s="576"/>
      <c r="V48" s="576"/>
      <c r="W48" s="576"/>
      <c r="X48" s="576"/>
      <c r="Y48" s="98"/>
      <c r="Z48" s="98"/>
      <c r="AA48" s="98"/>
      <c r="AB48" s="98"/>
      <c r="AC48" s="98"/>
      <c r="AD48" s="98"/>
      <c r="AE48" s="576"/>
      <c r="AF48" s="576"/>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7"/>
    </row>
    <row r="49" spans="1:55" x14ac:dyDescent="0.2">
      <c r="A49" s="576"/>
      <c r="B49" s="98"/>
      <c r="C49" s="98"/>
      <c r="D49" s="98"/>
      <c r="E49" s="576"/>
      <c r="F49" s="576"/>
      <c r="G49" s="576"/>
      <c r="H49" s="576"/>
      <c r="I49" s="576"/>
      <c r="J49" s="576"/>
      <c r="K49" s="576"/>
      <c r="L49" s="576"/>
      <c r="M49" s="576"/>
      <c r="N49" s="576"/>
      <c r="O49" s="576"/>
      <c r="P49" s="576"/>
      <c r="Q49" s="576"/>
      <c r="R49" s="576"/>
      <c r="S49" s="576"/>
      <c r="T49" s="576"/>
      <c r="U49" s="576"/>
      <c r="V49" s="576"/>
      <c r="W49" s="576"/>
      <c r="X49" s="576"/>
      <c r="Y49" s="98"/>
      <c r="Z49" s="98"/>
      <c r="AA49" s="98"/>
      <c r="AB49" s="98"/>
      <c r="AC49" s="98"/>
      <c r="AD49" s="98"/>
      <c r="AE49" s="576"/>
      <c r="AF49" s="576"/>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7"/>
    </row>
    <row r="50" spans="1:55" x14ac:dyDescent="0.2">
      <c r="A50" s="576"/>
      <c r="B50" s="98"/>
      <c r="C50" s="98"/>
      <c r="D50" s="98"/>
      <c r="E50" s="576"/>
      <c r="F50" s="576"/>
      <c r="G50" s="576"/>
      <c r="H50" s="576"/>
      <c r="I50" s="576"/>
      <c r="J50" s="576"/>
      <c r="K50" s="576"/>
      <c r="L50" s="576"/>
      <c r="M50" s="576"/>
      <c r="N50" s="576"/>
      <c r="O50" s="576"/>
      <c r="P50" s="576"/>
      <c r="Q50" s="576"/>
      <c r="R50" s="576"/>
      <c r="S50" s="576"/>
      <c r="T50" s="576"/>
      <c r="U50" s="576"/>
      <c r="V50" s="576"/>
      <c r="W50" s="576"/>
      <c r="X50" s="576"/>
      <c r="Y50" s="98"/>
      <c r="Z50" s="98"/>
      <c r="AA50" s="98"/>
      <c r="AB50" s="98"/>
      <c r="AC50" s="98"/>
      <c r="AD50" s="98"/>
      <c r="AE50" s="576"/>
      <c r="AF50" s="576"/>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7"/>
    </row>
    <row r="51" spans="1:55" x14ac:dyDescent="0.2">
      <c r="A51" s="576"/>
      <c r="B51" s="98"/>
      <c r="C51" s="98"/>
      <c r="D51" s="98"/>
      <c r="E51" s="576"/>
      <c r="F51" s="576"/>
      <c r="G51" s="576"/>
      <c r="H51" s="576"/>
      <c r="I51" s="576"/>
      <c r="J51" s="576"/>
      <c r="K51" s="576"/>
      <c r="L51" s="576"/>
      <c r="M51" s="576"/>
      <c r="N51" s="576"/>
      <c r="O51" s="576"/>
      <c r="P51" s="576"/>
      <c r="Q51" s="576"/>
      <c r="R51" s="576"/>
      <c r="S51" s="576"/>
      <c r="T51" s="576"/>
      <c r="U51" s="576"/>
      <c r="V51" s="576"/>
      <c r="W51" s="576"/>
      <c r="X51" s="576"/>
      <c r="Y51" s="98"/>
      <c r="Z51" s="98"/>
      <c r="AA51" s="98"/>
      <c r="AB51" s="98"/>
      <c r="AC51" s="98"/>
      <c r="AD51" s="98"/>
      <c r="AE51" s="576"/>
      <c r="AF51" s="576"/>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7"/>
    </row>
    <row r="52" spans="1:55" x14ac:dyDescent="0.2">
      <c r="A52" s="576"/>
      <c r="B52" s="98"/>
      <c r="C52" s="98"/>
      <c r="D52" s="98"/>
      <c r="E52" s="576"/>
      <c r="F52" s="576"/>
      <c r="G52" s="576"/>
      <c r="H52" s="576"/>
      <c r="I52" s="576"/>
      <c r="J52" s="576"/>
      <c r="K52" s="576"/>
      <c r="L52" s="576"/>
      <c r="M52" s="576"/>
      <c r="N52" s="576"/>
      <c r="O52" s="576"/>
      <c r="P52" s="576"/>
      <c r="Q52" s="576"/>
      <c r="R52" s="576"/>
      <c r="S52" s="576"/>
      <c r="T52" s="576"/>
      <c r="U52" s="576"/>
      <c r="V52" s="576"/>
      <c r="W52" s="576"/>
      <c r="X52" s="576"/>
      <c r="Y52" s="98"/>
      <c r="Z52" s="98"/>
      <c r="AA52" s="98"/>
      <c r="AB52" s="98"/>
      <c r="AC52" s="98"/>
      <c r="AD52" s="98"/>
      <c r="AE52" s="576"/>
      <c r="AF52" s="576"/>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7"/>
    </row>
    <row r="53" spans="1:55" x14ac:dyDescent="0.2">
      <c r="A53" s="576"/>
      <c r="B53" s="98"/>
      <c r="C53" s="98"/>
      <c r="D53" s="98"/>
      <c r="E53" s="576"/>
      <c r="F53" s="576"/>
      <c r="G53" s="576"/>
      <c r="H53" s="576"/>
      <c r="I53" s="576"/>
      <c r="J53" s="576"/>
      <c r="K53" s="576"/>
      <c r="L53" s="576"/>
      <c r="M53" s="576"/>
      <c r="N53" s="576"/>
      <c r="O53" s="576"/>
      <c r="P53" s="576"/>
      <c r="Q53" s="576"/>
      <c r="R53" s="576"/>
      <c r="S53" s="576"/>
      <c r="T53" s="576"/>
      <c r="U53" s="576"/>
      <c r="V53" s="576"/>
      <c r="W53" s="576"/>
      <c r="X53" s="576"/>
      <c r="Y53" s="98"/>
      <c r="Z53" s="98"/>
      <c r="AA53" s="98"/>
      <c r="AB53" s="98"/>
      <c r="AC53" s="98"/>
      <c r="AD53" s="98"/>
      <c r="AE53" s="576"/>
      <c r="AF53" s="576"/>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7"/>
    </row>
    <row r="54" spans="1:55" x14ac:dyDescent="0.2">
      <c r="A54" s="576"/>
      <c r="B54" s="98"/>
      <c r="C54" s="98"/>
      <c r="D54" s="98"/>
      <c r="E54" s="576"/>
      <c r="F54" s="576"/>
      <c r="G54" s="576"/>
      <c r="H54" s="576"/>
      <c r="I54" s="576"/>
      <c r="J54" s="576"/>
      <c r="K54" s="576"/>
      <c r="L54" s="576"/>
      <c r="M54" s="576"/>
      <c r="N54" s="576"/>
      <c r="O54" s="576"/>
      <c r="P54" s="576"/>
      <c r="Q54" s="576"/>
      <c r="R54" s="576"/>
      <c r="S54" s="576"/>
      <c r="T54" s="576"/>
      <c r="U54" s="576"/>
      <c r="V54" s="576"/>
      <c r="W54" s="576"/>
      <c r="X54" s="576"/>
      <c r="Y54" s="98"/>
      <c r="Z54" s="98"/>
      <c r="AA54" s="98"/>
      <c r="AB54" s="98"/>
      <c r="AC54" s="98"/>
      <c r="AD54" s="98"/>
      <c r="AE54" s="576"/>
      <c r="AF54" s="576"/>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7"/>
    </row>
    <row r="55" spans="1:55" x14ac:dyDescent="0.2">
      <c r="A55" s="576"/>
      <c r="B55" s="98"/>
      <c r="C55" s="98"/>
      <c r="D55" s="98"/>
      <c r="E55" s="576"/>
      <c r="F55" s="576"/>
      <c r="G55" s="576"/>
      <c r="H55" s="576"/>
      <c r="I55" s="576"/>
      <c r="J55" s="576"/>
      <c r="K55" s="576"/>
      <c r="L55" s="576"/>
      <c r="M55" s="576"/>
      <c r="N55" s="576"/>
      <c r="O55" s="576"/>
      <c r="P55" s="576"/>
      <c r="Q55" s="576"/>
      <c r="R55" s="576"/>
      <c r="S55" s="576"/>
      <c r="T55" s="576"/>
      <c r="U55" s="576"/>
      <c r="V55" s="576"/>
      <c r="W55" s="576"/>
      <c r="X55" s="576"/>
      <c r="Y55" s="98"/>
      <c r="Z55" s="98"/>
      <c r="AA55" s="98"/>
      <c r="AB55" s="98"/>
      <c r="AC55" s="98"/>
      <c r="AD55" s="98"/>
      <c r="AE55" s="576"/>
      <c r="AF55" s="576"/>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7"/>
    </row>
    <row r="56" spans="1:55" x14ac:dyDescent="0.2">
      <c r="A56" s="576"/>
      <c r="B56" s="98"/>
      <c r="C56" s="98"/>
      <c r="D56" s="98"/>
      <c r="E56" s="576"/>
      <c r="F56" s="576"/>
      <c r="G56" s="576"/>
      <c r="H56" s="576"/>
      <c r="I56" s="576"/>
      <c r="J56" s="576"/>
      <c r="K56" s="576"/>
      <c r="L56" s="576"/>
      <c r="M56" s="576"/>
      <c r="N56" s="576"/>
      <c r="O56" s="576"/>
      <c r="P56" s="576"/>
      <c r="Q56" s="576"/>
      <c r="R56" s="576"/>
      <c r="S56" s="576"/>
      <c r="T56" s="576"/>
      <c r="U56" s="576"/>
      <c r="V56" s="576"/>
      <c r="W56" s="576"/>
      <c r="X56" s="576"/>
      <c r="Y56" s="98"/>
      <c r="Z56" s="98"/>
      <c r="AA56" s="98"/>
      <c r="AB56" s="98"/>
      <c r="AC56" s="98"/>
      <c r="AD56" s="98"/>
      <c r="AE56" s="576"/>
      <c r="AF56" s="576"/>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7"/>
    </row>
    <row r="57" spans="1:55" x14ac:dyDescent="0.2">
      <c r="A57" s="576"/>
      <c r="B57" s="98"/>
      <c r="C57" s="98"/>
      <c r="D57" s="98"/>
      <c r="E57" s="576"/>
      <c r="F57" s="576"/>
      <c r="G57" s="576"/>
      <c r="H57" s="576"/>
      <c r="I57" s="576"/>
      <c r="J57" s="576"/>
      <c r="K57" s="576"/>
      <c r="L57" s="576"/>
      <c r="M57" s="576"/>
      <c r="N57" s="576"/>
      <c r="O57" s="576"/>
      <c r="P57" s="576"/>
      <c r="Q57" s="576"/>
      <c r="R57" s="576"/>
      <c r="S57" s="576"/>
      <c r="T57" s="576"/>
      <c r="U57" s="576"/>
      <c r="V57" s="576"/>
      <c r="W57" s="576"/>
      <c r="X57" s="576"/>
      <c r="Y57" s="98"/>
      <c r="Z57" s="98"/>
      <c r="AA57" s="98"/>
      <c r="AB57" s="98"/>
      <c r="AC57" s="98"/>
      <c r="AD57" s="98"/>
      <c r="AE57" s="576"/>
      <c r="AF57" s="576"/>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7"/>
    </row>
    <row r="58" spans="1:55" x14ac:dyDescent="0.2">
      <c r="A58" s="576"/>
      <c r="B58" s="98"/>
      <c r="C58" s="98"/>
      <c r="D58" s="98"/>
      <c r="E58" s="576"/>
      <c r="F58" s="576"/>
      <c r="G58" s="576"/>
      <c r="H58" s="576"/>
      <c r="I58" s="576"/>
      <c r="J58" s="576"/>
      <c r="K58" s="576"/>
      <c r="L58" s="576"/>
      <c r="M58" s="576"/>
      <c r="N58" s="576"/>
      <c r="O58" s="576"/>
      <c r="P58" s="576"/>
      <c r="Q58" s="576"/>
      <c r="R58" s="576"/>
      <c r="S58" s="576"/>
      <c r="T58" s="576"/>
      <c r="U58" s="576"/>
      <c r="V58" s="576"/>
      <c r="W58" s="576"/>
      <c r="X58" s="576"/>
      <c r="Y58" s="98"/>
      <c r="Z58" s="98"/>
      <c r="AA58" s="98"/>
      <c r="AB58" s="98"/>
      <c r="AC58" s="98"/>
      <c r="AD58" s="98"/>
      <c r="AE58" s="576"/>
      <c r="AF58" s="576"/>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7"/>
    </row>
    <row r="59" spans="1:55" x14ac:dyDescent="0.2">
      <c r="A59" s="576"/>
      <c r="B59" s="98"/>
      <c r="C59" s="98"/>
      <c r="D59" s="98"/>
      <c r="E59" s="576"/>
      <c r="F59" s="576"/>
      <c r="G59" s="576"/>
      <c r="H59" s="576"/>
      <c r="I59" s="576"/>
      <c r="J59" s="576"/>
      <c r="K59" s="576"/>
      <c r="L59" s="576"/>
      <c r="M59" s="576"/>
      <c r="N59" s="576"/>
      <c r="O59" s="576"/>
      <c r="P59" s="576"/>
      <c r="Q59" s="576"/>
      <c r="R59" s="576"/>
      <c r="S59" s="576"/>
      <c r="T59" s="576"/>
      <c r="U59" s="576"/>
      <c r="V59" s="576"/>
      <c r="W59" s="576"/>
      <c r="X59" s="576"/>
      <c r="Y59" s="98"/>
      <c r="Z59" s="98"/>
      <c r="AA59" s="98"/>
      <c r="AB59" s="98"/>
      <c r="AC59" s="98"/>
      <c r="AD59" s="98"/>
      <c r="AE59" s="576"/>
      <c r="AF59" s="576"/>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7"/>
    </row>
    <row r="60" spans="1:55" x14ac:dyDescent="0.2">
      <c r="A60" s="576"/>
      <c r="B60" s="98"/>
      <c r="C60" s="98"/>
      <c r="D60" s="98"/>
      <c r="E60" s="576"/>
      <c r="F60" s="576"/>
      <c r="G60" s="576"/>
      <c r="H60" s="576"/>
      <c r="I60" s="576"/>
      <c r="J60" s="576"/>
      <c r="K60" s="576"/>
      <c r="L60" s="576"/>
      <c r="M60" s="576"/>
      <c r="N60" s="576"/>
      <c r="O60" s="576"/>
      <c r="P60" s="576"/>
      <c r="Q60" s="576"/>
      <c r="R60" s="576"/>
      <c r="S60" s="576"/>
      <c r="T60" s="576"/>
      <c r="U60" s="576"/>
      <c r="V60" s="576"/>
      <c r="W60" s="576"/>
      <c r="X60" s="576"/>
      <c r="Y60" s="98"/>
      <c r="Z60" s="98"/>
      <c r="AA60" s="98"/>
      <c r="AB60" s="98"/>
      <c r="AC60" s="98"/>
      <c r="AD60" s="98"/>
      <c r="AE60" s="576"/>
      <c r="AF60" s="576"/>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7"/>
    </row>
    <row r="61" spans="1:55" x14ac:dyDescent="0.2">
      <c r="A61" s="576"/>
      <c r="B61" s="98"/>
      <c r="C61" s="98"/>
      <c r="D61" s="98"/>
      <c r="E61" s="576"/>
      <c r="F61" s="576"/>
      <c r="G61" s="576"/>
      <c r="H61" s="576"/>
      <c r="I61" s="576"/>
      <c r="J61" s="576"/>
      <c r="K61" s="576"/>
      <c r="L61" s="576"/>
      <c r="M61" s="576"/>
      <c r="N61" s="576"/>
      <c r="O61" s="576"/>
      <c r="P61" s="576"/>
      <c r="Q61" s="576"/>
      <c r="R61" s="576"/>
      <c r="S61" s="576"/>
      <c r="T61" s="576"/>
      <c r="U61" s="576"/>
      <c r="V61" s="576"/>
      <c r="W61" s="576"/>
      <c r="X61" s="576"/>
      <c r="Y61" s="98"/>
      <c r="Z61" s="98"/>
      <c r="AA61" s="98"/>
      <c r="AB61" s="98"/>
      <c r="AC61" s="98"/>
      <c r="AD61" s="98"/>
      <c r="AE61" s="576"/>
      <c r="AF61" s="576"/>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7"/>
    </row>
    <row r="62" spans="1:55" x14ac:dyDescent="0.2">
      <c r="A62" s="576"/>
      <c r="B62" s="98"/>
      <c r="C62" s="98"/>
      <c r="D62" s="98"/>
      <c r="E62" s="576"/>
      <c r="F62" s="576"/>
      <c r="G62" s="576"/>
      <c r="H62" s="576"/>
      <c r="I62" s="576"/>
      <c r="J62" s="576"/>
      <c r="K62" s="576"/>
      <c r="L62" s="576"/>
      <c r="M62" s="576"/>
      <c r="N62" s="576"/>
      <c r="O62" s="576"/>
      <c r="P62" s="576"/>
      <c r="Q62" s="576"/>
      <c r="R62" s="576"/>
      <c r="S62" s="576"/>
      <c r="T62" s="576"/>
      <c r="U62" s="576"/>
      <c r="V62" s="576"/>
      <c r="W62" s="576"/>
      <c r="X62" s="576"/>
      <c r="Y62" s="98"/>
      <c r="Z62" s="98"/>
      <c r="AA62" s="98"/>
      <c r="AB62" s="98"/>
      <c r="AC62" s="98"/>
      <c r="AD62" s="98"/>
      <c r="AE62" s="576"/>
      <c r="AF62" s="576"/>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7"/>
    </row>
    <row r="63" spans="1:55" x14ac:dyDescent="0.2">
      <c r="A63" s="576"/>
      <c r="B63" s="98"/>
      <c r="C63" s="98"/>
      <c r="D63" s="98"/>
      <c r="E63" s="576"/>
      <c r="F63" s="576"/>
      <c r="G63" s="576"/>
      <c r="H63" s="576"/>
      <c r="I63" s="576"/>
      <c r="J63" s="576"/>
      <c r="K63" s="576"/>
      <c r="L63" s="576"/>
      <c r="M63" s="576"/>
      <c r="N63" s="576"/>
      <c r="O63" s="576"/>
      <c r="P63" s="576"/>
      <c r="Q63" s="576"/>
      <c r="R63" s="576"/>
      <c r="S63" s="576"/>
      <c r="T63" s="576"/>
      <c r="U63" s="576"/>
      <c r="V63" s="576"/>
      <c r="W63" s="576"/>
      <c r="X63" s="576"/>
      <c r="Y63" s="98"/>
      <c r="Z63" s="98"/>
      <c r="AA63" s="98"/>
      <c r="AB63" s="98"/>
      <c r="AC63" s="98"/>
      <c r="AD63" s="98"/>
      <c r="AE63" s="576"/>
      <c r="AF63" s="576"/>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7"/>
    </row>
    <row r="64" spans="1:55" x14ac:dyDescent="0.2">
      <c r="A64" s="576"/>
      <c r="B64" s="98"/>
      <c r="C64" s="98"/>
      <c r="D64" s="98"/>
      <c r="E64" s="576"/>
      <c r="F64" s="576"/>
      <c r="G64" s="576"/>
      <c r="H64" s="576"/>
      <c r="I64" s="576"/>
      <c r="J64" s="576"/>
      <c r="K64" s="576"/>
      <c r="L64" s="576"/>
      <c r="M64" s="576"/>
      <c r="N64" s="576"/>
      <c r="O64" s="576"/>
      <c r="P64" s="576"/>
      <c r="Q64" s="576"/>
      <c r="R64" s="576"/>
      <c r="S64" s="576"/>
      <c r="T64" s="576"/>
      <c r="U64" s="576"/>
      <c r="V64" s="576"/>
      <c r="W64" s="576"/>
      <c r="X64" s="576"/>
      <c r="Y64" s="98"/>
      <c r="Z64" s="98"/>
      <c r="AA64" s="98"/>
      <c r="AB64" s="98"/>
      <c r="AC64" s="98"/>
      <c r="AD64" s="98"/>
      <c r="AE64" s="576"/>
      <c r="AF64" s="576"/>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7"/>
    </row>
    <row r="65" spans="1:55" x14ac:dyDescent="0.2">
      <c r="A65" s="576"/>
      <c r="B65" s="98"/>
      <c r="C65" s="98"/>
      <c r="D65" s="98"/>
      <c r="E65" s="576"/>
      <c r="F65" s="576"/>
      <c r="G65" s="576"/>
      <c r="H65" s="576"/>
      <c r="I65" s="576"/>
      <c r="J65" s="576"/>
      <c r="K65" s="576"/>
      <c r="L65" s="576"/>
      <c r="M65" s="576"/>
      <c r="N65" s="576"/>
      <c r="O65" s="576"/>
      <c r="P65" s="576"/>
      <c r="Q65" s="576"/>
      <c r="R65" s="576"/>
      <c r="S65" s="576"/>
      <c r="T65" s="576"/>
      <c r="U65" s="576"/>
      <c r="V65" s="576"/>
      <c r="W65" s="576"/>
      <c r="X65" s="576"/>
      <c r="Y65" s="98"/>
      <c r="Z65" s="98"/>
      <c r="AA65" s="98"/>
      <c r="AB65" s="98"/>
      <c r="AC65" s="98"/>
      <c r="AD65" s="98"/>
      <c r="AE65" s="576"/>
      <c r="AF65" s="576"/>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7"/>
    </row>
    <row r="66" spans="1:55" x14ac:dyDescent="0.2">
      <c r="A66" s="576"/>
      <c r="B66" s="98"/>
      <c r="C66" s="98"/>
      <c r="D66" s="98"/>
      <c r="E66" s="576"/>
      <c r="F66" s="576"/>
      <c r="G66" s="576"/>
      <c r="H66" s="576"/>
      <c r="I66" s="576"/>
      <c r="J66" s="576"/>
      <c r="K66" s="576"/>
      <c r="L66" s="576"/>
      <c r="M66" s="576"/>
      <c r="N66" s="576"/>
      <c r="O66" s="576"/>
      <c r="P66" s="576"/>
      <c r="Q66" s="576"/>
      <c r="R66" s="576"/>
      <c r="S66" s="576"/>
      <c r="T66" s="576"/>
      <c r="U66" s="576"/>
      <c r="V66" s="576"/>
      <c r="W66" s="576"/>
      <c r="X66" s="576"/>
      <c r="Y66" s="98"/>
      <c r="Z66" s="98"/>
      <c r="AA66" s="98"/>
      <c r="AB66" s="98"/>
      <c r="AC66" s="98"/>
      <c r="AD66" s="98"/>
      <c r="AE66" s="576"/>
      <c r="AF66" s="576"/>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7"/>
    </row>
    <row r="67" spans="1:55" x14ac:dyDescent="0.2">
      <c r="A67" s="576"/>
      <c r="B67" s="98"/>
      <c r="C67" s="98"/>
      <c r="D67" s="98"/>
      <c r="E67" s="576"/>
      <c r="F67" s="576"/>
      <c r="G67" s="576"/>
      <c r="H67" s="576"/>
      <c r="I67" s="576"/>
      <c r="J67" s="576"/>
      <c r="K67" s="576"/>
      <c r="L67" s="576"/>
      <c r="M67" s="576"/>
      <c r="N67" s="576"/>
      <c r="O67" s="576"/>
      <c r="P67" s="576"/>
      <c r="Q67" s="576"/>
      <c r="R67" s="576"/>
      <c r="S67" s="576"/>
      <c r="T67" s="576"/>
      <c r="U67" s="576"/>
      <c r="V67" s="576"/>
      <c r="W67" s="576"/>
      <c r="X67" s="576"/>
      <c r="Y67" s="98"/>
      <c r="Z67" s="98"/>
      <c r="AA67" s="98"/>
      <c r="AB67" s="98"/>
      <c r="AC67" s="98"/>
      <c r="AD67" s="98"/>
      <c r="AE67" s="576"/>
      <c r="AF67" s="576"/>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7"/>
    </row>
    <row r="68" spans="1:55" x14ac:dyDescent="0.2">
      <c r="A68" s="576"/>
      <c r="B68" s="98"/>
      <c r="C68" s="98"/>
      <c r="D68" s="98"/>
      <c r="E68" s="576"/>
      <c r="F68" s="576"/>
      <c r="G68" s="576"/>
      <c r="H68" s="576"/>
      <c r="I68" s="576"/>
      <c r="J68" s="576"/>
      <c r="K68" s="576"/>
      <c r="L68" s="576"/>
      <c r="M68" s="576"/>
      <c r="N68" s="576"/>
      <c r="O68" s="576"/>
      <c r="P68" s="576"/>
      <c r="Q68" s="576"/>
      <c r="R68" s="576"/>
      <c r="S68" s="576"/>
      <c r="T68" s="576"/>
      <c r="U68" s="576"/>
      <c r="V68" s="576"/>
      <c r="W68" s="576"/>
      <c r="X68" s="576"/>
      <c r="Y68" s="98"/>
      <c r="Z68" s="98"/>
      <c r="AA68" s="98"/>
      <c r="AB68" s="98"/>
      <c r="AC68" s="98"/>
      <c r="AD68" s="98"/>
      <c r="AE68" s="576"/>
      <c r="AF68" s="576"/>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7"/>
    </row>
    <row r="69" spans="1:55" x14ac:dyDescent="0.2">
      <c r="A69" s="576"/>
      <c r="B69" s="98"/>
      <c r="C69" s="98"/>
      <c r="D69" s="98"/>
      <c r="E69" s="576"/>
      <c r="F69" s="576"/>
      <c r="G69" s="576"/>
      <c r="H69" s="576"/>
      <c r="I69" s="576"/>
      <c r="J69" s="576"/>
      <c r="K69" s="576"/>
      <c r="L69" s="576"/>
      <c r="M69" s="576"/>
      <c r="N69" s="576"/>
      <c r="O69" s="576"/>
      <c r="P69" s="576"/>
      <c r="Q69" s="576"/>
      <c r="R69" s="576"/>
      <c r="S69" s="576"/>
      <c r="T69" s="576"/>
      <c r="U69" s="576"/>
      <c r="V69" s="576"/>
      <c r="W69" s="576"/>
      <c r="X69" s="576"/>
      <c r="Y69" s="98"/>
      <c r="Z69" s="98"/>
      <c r="AA69" s="98"/>
      <c r="AB69" s="98"/>
      <c r="AC69" s="98"/>
      <c r="AD69" s="98"/>
      <c r="AE69" s="576"/>
      <c r="AF69" s="576"/>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7"/>
    </row>
    <row r="70" spans="1:55" x14ac:dyDescent="0.2">
      <c r="A70" s="576"/>
      <c r="B70" s="98"/>
      <c r="C70" s="98"/>
      <c r="D70" s="98"/>
      <c r="E70" s="576"/>
      <c r="F70" s="576"/>
      <c r="G70" s="576"/>
      <c r="H70" s="576"/>
      <c r="I70" s="576"/>
      <c r="J70" s="576"/>
      <c r="K70" s="576"/>
      <c r="L70" s="576"/>
      <c r="M70" s="576"/>
      <c r="N70" s="576"/>
      <c r="O70" s="576"/>
      <c r="P70" s="576"/>
      <c r="Q70" s="576"/>
      <c r="R70" s="576"/>
      <c r="S70" s="576"/>
      <c r="T70" s="576"/>
      <c r="U70" s="576"/>
      <c r="V70" s="576"/>
      <c r="W70" s="576"/>
      <c r="X70" s="576"/>
      <c r="Y70" s="98"/>
      <c r="Z70" s="98"/>
      <c r="AA70" s="98"/>
      <c r="AB70" s="98"/>
      <c r="AC70" s="98"/>
      <c r="AD70" s="98"/>
      <c r="AE70" s="576"/>
      <c r="AF70" s="576"/>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7"/>
    </row>
    <row r="71" spans="1:55" x14ac:dyDescent="0.2">
      <c r="A71" s="576"/>
      <c r="B71" s="98"/>
      <c r="C71" s="98"/>
      <c r="D71" s="98"/>
      <c r="E71" s="576"/>
      <c r="F71" s="576"/>
      <c r="G71" s="576"/>
      <c r="H71" s="576"/>
      <c r="I71" s="576"/>
      <c r="J71" s="576"/>
      <c r="K71" s="576"/>
      <c r="L71" s="576"/>
      <c r="M71" s="576"/>
      <c r="N71" s="576"/>
      <c r="O71" s="576"/>
      <c r="P71" s="576"/>
      <c r="Q71" s="576"/>
      <c r="R71" s="576"/>
      <c r="S71" s="576"/>
      <c r="T71" s="576"/>
      <c r="U71" s="576"/>
      <c r="V71" s="576"/>
      <c r="W71" s="576"/>
      <c r="X71" s="576"/>
      <c r="Y71" s="98"/>
      <c r="Z71" s="98"/>
      <c r="AA71" s="98"/>
      <c r="AB71" s="98"/>
      <c r="AC71" s="98"/>
      <c r="AD71" s="98"/>
      <c r="AE71" s="576"/>
      <c r="AF71" s="576"/>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7"/>
    </row>
    <row r="72" spans="1:55" x14ac:dyDescent="0.2">
      <c r="A72" s="576"/>
      <c r="B72" s="98"/>
      <c r="C72" s="98"/>
      <c r="D72" s="98"/>
      <c r="E72" s="576"/>
      <c r="F72" s="576"/>
      <c r="G72" s="576"/>
      <c r="H72" s="576"/>
      <c r="I72" s="576"/>
      <c r="J72" s="576"/>
      <c r="K72" s="576"/>
      <c r="L72" s="576"/>
      <c r="M72" s="576"/>
      <c r="N72" s="576"/>
      <c r="O72" s="576"/>
      <c r="P72" s="576"/>
      <c r="Q72" s="576"/>
      <c r="R72" s="576"/>
      <c r="S72" s="576"/>
      <c r="T72" s="576"/>
      <c r="U72" s="576"/>
      <c r="V72" s="576"/>
      <c r="W72" s="576"/>
      <c r="X72" s="576"/>
      <c r="Y72" s="98"/>
      <c r="Z72" s="98"/>
      <c r="AA72" s="98"/>
      <c r="AB72" s="98"/>
      <c r="AC72" s="98"/>
      <c r="AD72" s="98"/>
      <c r="AE72" s="576"/>
      <c r="AF72" s="576"/>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7"/>
    </row>
    <row r="73" spans="1:55" x14ac:dyDescent="0.2">
      <c r="A73" s="576"/>
      <c r="B73" s="98"/>
      <c r="C73" s="98"/>
      <c r="D73" s="98"/>
      <c r="E73" s="576"/>
      <c r="F73" s="576"/>
      <c r="G73" s="576"/>
      <c r="H73" s="576"/>
      <c r="I73" s="576"/>
      <c r="J73" s="576"/>
      <c r="K73" s="576"/>
      <c r="L73" s="576"/>
      <c r="M73" s="576"/>
      <c r="N73" s="576"/>
      <c r="O73" s="576"/>
      <c r="P73" s="576"/>
      <c r="Q73" s="576"/>
      <c r="R73" s="576"/>
      <c r="S73" s="576"/>
      <c r="T73" s="576"/>
      <c r="U73" s="576"/>
      <c r="V73" s="576"/>
      <c r="W73" s="576"/>
      <c r="X73" s="576"/>
      <c r="Y73" s="98"/>
      <c r="Z73" s="98"/>
      <c r="AA73" s="98"/>
      <c r="AB73" s="98"/>
      <c r="AC73" s="98"/>
      <c r="AD73" s="98"/>
      <c r="AE73" s="576"/>
      <c r="AF73" s="576"/>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7"/>
    </row>
    <row r="74" spans="1:55" x14ac:dyDescent="0.2">
      <c r="A74" s="576"/>
      <c r="B74" s="98"/>
      <c r="C74" s="98"/>
      <c r="D74" s="98"/>
      <c r="E74" s="576"/>
      <c r="F74" s="576"/>
      <c r="G74" s="576"/>
      <c r="H74" s="576"/>
      <c r="I74" s="576"/>
      <c r="J74" s="576"/>
      <c r="K74" s="576"/>
      <c r="L74" s="576"/>
      <c r="M74" s="576"/>
      <c r="N74" s="576"/>
      <c r="O74" s="576"/>
      <c r="P74" s="576"/>
      <c r="Q74" s="576"/>
      <c r="R74" s="576"/>
      <c r="S74" s="576"/>
      <c r="T74" s="576"/>
      <c r="U74" s="576"/>
      <c r="V74" s="576"/>
      <c r="W74" s="576"/>
      <c r="X74" s="576"/>
      <c r="Y74" s="98"/>
      <c r="Z74" s="98"/>
      <c r="AA74" s="98"/>
      <c r="AB74" s="98"/>
      <c r="AC74" s="98"/>
      <c r="AD74" s="98"/>
      <c r="AE74" s="576"/>
      <c r="AF74" s="576"/>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7"/>
    </row>
    <row r="75" spans="1:55" x14ac:dyDescent="0.2">
      <c r="A75" s="576"/>
      <c r="B75" s="98"/>
      <c r="C75" s="98"/>
      <c r="D75" s="98"/>
      <c r="E75" s="576"/>
      <c r="F75" s="576"/>
      <c r="G75" s="576"/>
      <c r="H75" s="576"/>
      <c r="I75" s="576"/>
      <c r="J75" s="576"/>
      <c r="K75" s="576"/>
      <c r="L75" s="576"/>
      <c r="M75" s="576"/>
      <c r="N75" s="576"/>
      <c r="O75" s="576"/>
      <c r="P75" s="576"/>
      <c r="Q75" s="576"/>
      <c r="R75" s="576"/>
      <c r="S75" s="576"/>
      <c r="T75" s="576"/>
      <c r="U75" s="576"/>
      <c r="V75" s="576"/>
      <c r="W75" s="576"/>
      <c r="X75" s="576"/>
      <c r="Y75" s="98"/>
      <c r="Z75" s="98"/>
      <c r="AA75" s="98"/>
      <c r="AB75" s="98"/>
      <c r="AC75" s="98"/>
      <c r="AD75" s="98"/>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7"/>
    </row>
    <row r="76" spans="1:55" x14ac:dyDescent="0.2">
      <c r="A76" s="576"/>
      <c r="B76" s="98"/>
      <c r="C76" s="98"/>
      <c r="D76" s="98"/>
      <c r="E76" s="576"/>
      <c r="F76" s="576"/>
      <c r="G76" s="576"/>
      <c r="H76" s="576"/>
      <c r="I76" s="576"/>
      <c r="J76" s="576"/>
      <c r="K76" s="576"/>
      <c r="L76" s="576"/>
      <c r="M76" s="576"/>
      <c r="N76" s="576"/>
      <c r="O76" s="576"/>
      <c r="P76" s="576"/>
      <c r="Q76" s="576"/>
      <c r="R76" s="576"/>
      <c r="S76" s="576"/>
      <c r="T76" s="576"/>
      <c r="U76" s="576"/>
      <c r="V76" s="576"/>
      <c r="W76" s="576"/>
      <c r="X76" s="576"/>
      <c r="Y76" s="98"/>
      <c r="Z76" s="98"/>
      <c r="AA76" s="98"/>
      <c r="AB76" s="98"/>
      <c r="AC76" s="98"/>
      <c r="AD76" s="98"/>
      <c r="AE76" s="576"/>
      <c r="AF76" s="576"/>
      <c r="AG76" s="576"/>
      <c r="AH76" s="576"/>
      <c r="AI76" s="576"/>
      <c r="AJ76" s="576"/>
      <c r="AK76" s="576"/>
      <c r="AL76" s="576"/>
      <c r="AM76" s="576"/>
      <c r="AN76" s="576"/>
      <c r="AO76" s="576"/>
      <c r="AP76" s="576"/>
      <c r="AQ76" s="576"/>
      <c r="AR76" s="576"/>
      <c r="AS76" s="576"/>
      <c r="AT76" s="576"/>
      <c r="AU76" s="576"/>
      <c r="AV76" s="576"/>
      <c r="AW76" s="576"/>
      <c r="AX76" s="576"/>
      <c r="AY76" s="576"/>
      <c r="AZ76" s="576"/>
      <c r="BA76" s="576"/>
      <c r="BB76" s="576"/>
      <c r="BC76" s="577"/>
    </row>
    <row r="77" spans="1:55" x14ac:dyDescent="0.2">
      <c r="A77" s="576"/>
      <c r="B77" s="98"/>
      <c r="C77" s="98"/>
      <c r="D77" s="98"/>
      <c r="E77" s="576"/>
      <c r="F77" s="576"/>
      <c r="G77" s="576"/>
      <c r="H77" s="576"/>
      <c r="I77" s="576"/>
      <c r="J77" s="576"/>
      <c r="K77" s="576"/>
      <c r="L77" s="576"/>
      <c r="M77" s="576"/>
      <c r="N77" s="576"/>
      <c r="O77" s="576"/>
      <c r="P77" s="576"/>
      <c r="Q77" s="576"/>
      <c r="R77" s="576"/>
      <c r="S77" s="576"/>
      <c r="T77" s="576"/>
      <c r="U77" s="576"/>
      <c r="V77" s="576"/>
      <c r="W77" s="576"/>
      <c r="X77" s="576"/>
      <c r="Y77" s="98"/>
      <c r="Z77" s="98"/>
      <c r="AA77" s="98"/>
      <c r="AB77" s="98"/>
      <c r="AC77" s="98"/>
      <c r="AD77" s="98"/>
      <c r="AE77" s="576"/>
      <c r="AF77" s="576"/>
      <c r="AG77" s="576"/>
      <c r="AH77" s="576"/>
      <c r="AI77" s="576"/>
      <c r="AJ77" s="576"/>
      <c r="AK77" s="576"/>
      <c r="AL77" s="576"/>
      <c r="AM77" s="576"/>
      <c r="AN77" s="576"/>
      <c r="AO77" s="576"/>
      <c r="AP77" s="576"/>
      <c r="AQ77" s="576"/>
      <c r="AR77" s="576"/>
      <c r="AS77" s="576"/>
      <c r="AT77" s="576"/>
      <c r="AU77" s="576"/>
      <c r="AV77" s="576"/>
      <c r="AW77" s="576"/>
      <c r="AX77" s="576"/>
      <c r="AY77" s="576"/>
      <c r="AZ77" s="576"/>
      <c r="BA77" s="576"/>
      <c r="BB77" s="576"/>
      <c r="BC77" s="577"/>
    </row>
    <row r="78" spans="1:55" x14ac:dyDescent="0.2">
      <c r="A78" s="576"/>
      <c r="B78" s="98"/>
      <c r="C78" s="98"/>
      <c r="D78" s="98"/>
      <c r="E78" s="576"/>
      <c r="F78" s="576"/>
      <c r="G78" s="576"/>
      <c r="H78" s="576"/>
      <c r="I78" s="576"/>
      <c r="J78" s="576"/>
      <c r="K78" s="576"/>
      <c r="L78" s="576"/>
      <c r="M78" s="576"/>
      <c r="N78" s="576"/>
      <c r="O78" s="576"/>
      <c r="P78" s="576"/>
      <c r="Q78" s="576"/>
      <c r="R78" s="576"/>
      <c r="S78" s="576"/>
      <c r="T78" s="576"/>
      <c r="U78" s="576"/>
      <c r="V78" s="576"/>
      <c r="W78" s="576"/>
      <c r="X78" s="576"/>
      <c r="Y78" s="98"/>
      <c r="Z78" s="98"/>
      <c r="AA78" s="98"/>
      <c r="AB78" s="98"/>
      <c r="AC78" s="98"/>
      <c r="AD78" s="98"/>
      <c r="AE78" s="576"/>
      <c r="AF78" s="576"/>
      <c r="AG78" s="576"/>
      <c r="AH78" s="576"/>
      <c r="AI78" s="576"/>
      <c r="AJ78" s="576"/>
      <c r="AK78" s="576"/>
      <c r="AL78" s="576"/>
      <c r="AM78" s="576"/>
      <c r="AN78" s="576"/>
      <c r="AO78" s="576"/>
      <c r="AP78" s="576"/>
      <c r="AQ78" s="576"/>
      <c r="AR78" s="576"/>
      <c r="AS78" s="576"/>
      <c r="AT78" s="576"/>
      <c r="AU78" s="576"/>
      <c r="AV78" s="576"/>
      <c r="AW78" s="576"/>
      <c r="AX78" s="576"/>
      <c r="AY78" s="576"/>
      <c r="AZ78" s="576"/>
      <c r="BA78" s="576"/>
      <c r="BB78" s="576"/>
      <c r="BC78" s="577"/>
    </row>
    <row r="79" spans="1:55" x14ac:dyDescent="0.2">
      <c r="A79" s="576"/>
      <c r="B79" s="98"/>
      <c r="C79" s="98"/>
      <c r="D79" s="98"/>
      <c r="E79" s="576"/>
      <c r="F79" s="576"/>
      <c r="G79" s="576"/>
      <c r="H79" s="576"/>
      <c r="I79" s="576"/>
      <c r="J79" s="576"/>
      <c r="K79" s="576"/>
      <c r="L79" s="576"/>
      <c r="M79" s="576"/>
      <c r="N79" s="576"/>
      <c r="O79" s="576"/>
      <c r="P79" s="576"/>
      <c r="Q79" s="576"/>
      <c r="R79" s="576"/>
      <c r="S79" s="576"/>
      <c r="T79" s="576"/>
      <c r="U79" s="576"/>
      <c r="V79" s="576"/>
      <c r="W79" s="576"/>
      <c r="X79" s="576"/>
      <c r="Y79" s="98"/>
      <c r="Z79" s="98"/>
      <c r="AA79" s="98"/>
      <c r="AB79" s="98"/>
      <c r="AC79" s="98"/>
      <c r="AD79" s="98"/>
      <c r="AE79" s="576"/>
      <c r="AF79" s="576"/>
      <c r="AG79" s="576"/>
      <c r="AH79" s="576"/>
      <c r="AI79" s="576"/>
      <c r="AJ79" s="576"/>
      <c r="AK79" s="576"/>
      <c r="AL79" s="576"/>
      <c r="AM79" s="576"/>
      <c r="AN79" s="576"/>
      <c r="AO79" s="576"/>
      <c r="AP79" s="576"/>
      <c r="AQ79" s="576"/>
      <c r="AR79" s="576"/>
      <c r="AS79" s="576"/>
      <c r="AT79" s="576"/>
      <c r="AU79" s="576"/>
      <c r="AV79" s="576"/>
      <c r="AW79" s="576"/>
      <c r="AX79" s="576"/>
      <c r="AY79" s="576"/>
      <c r="AZ79" s="576"/>
      <c r="BA79" s="576"/>
      <c r="BB79" s="576"/>
      <c r="BC79" s="577"/>
    </row>
    <row r="80" spans="1:55" x14ac:dyDescent="0.2">
      <c r="A80" s="576"/>
      <c r="B80" s="98"/>
      <c r="C80" s="98"/>
      <c r="D80" s="98"/>
      <c r="E80" s="576"/>
      <c r="F80" s="576"/>
      <c r="G80" s="576"/>
      <c r="H80" s="576"/>
      <c r="I80" s="576"/>
      <c r="J80" s="576"/>
      <c r="K80" s="576"/>
      <c r="L80" s="576"/>
      <c r="M80" s="576"/>
      <c r="N80" s="576"/>
      <c r="O80" s="576"/>
      <c r="P80" s="576"/>
      <c r="Q80" s="576"/>
      <c r="R80" s="576"/>
      <c r="S80" s="576"/>
      <c r="T80" s="576"/>
      <c r="U80" s="576"/>
      <c r="V80" s="576"/>
      <c r="W80" s="576"/>
      <c r="X80" s="576"/>
      <c r="Y80" s="98"/>
      <c r="Z80" s="98"/>
      <c r="AA80" s="98"/>
      <c r="AB80" s="98"/>
      <c r="AC80" s="98"/>
      <c r="AD80" s="98"/>
      <c r="AE80" s="576"/>
      <c r="AF80" s="576"/>
      <c r="AG80" s="576"/>
      <c r="AH80" s="576"/>
      <c r="AI80" s="576"/>
      <c r="AJ80" s="576"/>
      <c r="AK80" s="576"/>
      <c r="AL80" s="576"/>
      <c r="AM80" s="576"/>
      <c r="AN80" s="576"/>
      <c r="AO80" s="576"/>
      <c r="AP80" s="576"/>
      <c r="AQ80" s="576"/>
      <c r="AR80" s="576"/>
      <c r="AS80" s="576"/>
      <c r="AT80" s="576"/>
      <c r="AU80" s="576"/>
      <c r="AV80" s="576"/>
      <c r="AW80" s="576"/>
      <c r="AX80" s="576"/>
      <c r="AY80" s="576"/>
      <c r="AZ80" s="576"/>
      <c r="BA80" s="576"/>
      <c r="BB80" s="576"/>
      <c r="BC80" s="577"/>
    </row>
    <row r="81" spans="1:55" x14ac:dyDescent="0.2">
      <c r="A81" s="576"/>
      <c r="B81" s="98"/>
      <c r="C81" s="98"/>
      <c r="D81" s="98"/>
      <c r="E81" s="576"/>
      <c r="F81" s="576"/>
      <c r="G81" s="576"/>
      <c r="H81" s="576"/>
      <c r="I81" s="576"/>
      <c r="J81" s="576"/>
      <c r="K81" s="576"/>
      <c r="L81" s="576"/>
      <c r="M81" s="576"/>
      <c r="N81" s="576"/>
      <c r="O81" s="576"/>
      <c r="P81" s="576"/>
      <c r="Q81" s="576"/>
      <c r="R81" s="576"/>
      <c r="S81" s="576"/>
      <c r="T81" s="576"/>
      <c r="U81" s="576"/>
      <c r="V81" s="576"/>
      <c r="W81" s="576"/>
      <c r="X81" s="576"/>
      <c r="Y81" s="98"/>
      <c r="Z81" s="98"/>
      <c r="AA81" s="98"/>
      <c r="AB81" s="98"/>
      <c r="AC81" s="98"/>
      <c r="AD81" s="98"/>
      <c r="AE81" s="576"/>
      <c r="AF81" s="576"/>
      <c r="AG81" s="576"/>
      <c r="AH81" s="576"/>
      <c r="AI81" s="576"/>
      <c r="AJ81" s="576"/>
      <c r="AK81" s="576"/>
      <c r="AL81" s="576"/>
      <c r="AM81" s="576"/>
      <c r="AN81" s="576"/>
      <c r="AO81" s="576"/>
      <c r="AP81" s="576"/>
      <c r="AQ81" s="576"/>
      <c r="AR81" s="576"/>
      <c r="AS81" s="576"/>
      <c r="AT81" s="576"/>
      <c r="AU81" s="576"/>
      <c r="AV81" s="576"/>
      <c r="AW81" s="576"/>
      <c r="AX81" s="576"/>
      <c r="AY81" s="576"/>
      <c r="AZ81" s="576"/>
      <c r="BA81" s="576"/>
      <c r="BB81" s="576"/>
      <c r="BC81" s="577"/>
    </row>
    <row r="82" spans="1:55" x14ac:dyDescent="0.2">
      <c r="A82" s="576"/>
      <c r="B82" s="98"/>
      <c r="C82" s="98"/>
      <c r="D82" s="98"/>
      <c r="E82" s="576"/>
      <c r="F82" s="576"/>
      <c r="G82" s="576"/>
      <c r="H82" s="576"/>
      <c r="I82" s="576"/>
      <c r="J82" s="576"/>
      <c r="K82" s="576"/>
      <c r="L82" s="576"/>
      <c r="M82" s="576"/>
      <c r="N82" s="576"/>
      <c r="O82" s="576"/>
      <c r="P82" s="576"/>
      <c r="Q82" s="576"/>
      <c r="R82" s="576"/>
      <c r="S82" s="576"/>
      <c r="T82" s="576"/>
      <c r="U82" s="576"/>
      <c r="V82" s="576"/>
      <c r="W82" s="576"/>
      <c r="X82" s="576"/>
      <c r="Y82" s="98"/>
      <c r="Z82" s="98"/>
      <c r="AA82" s="98"/>
      <c r="AB82" s="98"/>
      <c r="AC82" s="98"/>
      <c r="AD82" s="98"/>
      <c r="AE82" s="576"/>
      <c r="AF82" s="576"/>
      <c r="AG82" s="576"/>
      <c r="AH82" s="576"/>
      <c r="AI82" s="576"/>
      <c r="AJ82" s="576"/>
      <c r="AK82" s="576"/>
      <c r="AL82" s="576"/>
      <c r="AM82" s="576"/>
      <c r="AN82" s="576"/>
      <c r="AO82" s="576"/>
      <c r="AP82" s="576"/>
      <c r="AQ82" s="576"/>
      <c r="AR82" s="576"/>
      <c r="AS82" s="576"/>
      <c r="AT82" s="576"/>
      <c r="AU82" s="576"/>
      <c r="AV82" s="576"/>
      <c r="AW82" s="576"/>
      <c r="AX82" s="576"/>
      <c r="AY82" s="576"/>
      <c r="AZ82" s="576"/>
      <c r="BA82" s="576"/>
      <c r="BB82" s="576"/>
      <c r="BC82" s="577"/>
    </row>
    <row r="83" spans="1:55" x14ac:dyDescent="0.2">
      <c r="A83" s="576"/>
      <c r="B83" s="98"/>
      <c r="C83" s="98"/>
      <c r="D83" s="98"/>
      <c r="E83" s="576"/>
      <c r="F83" s="576"/>
      <c r="G83" s="576"/>
      <c r="H83" s="576"/>
      <c r="I83" s="576"/>
      <c r="J83" s="576"/>
      <c r="K83" s="576"/>
      <c r="L83" s="576"/>
      <c r="M83" s="576"/>
      <c r="N83" s="576"/>
      <c r="O83" s="576"/>
      <c r="P83" s="576"/>
      <c r="Q83" s="576"/>
      <c r="R83" s="576"/>
      <c r="S83" s="576"/>
      <c r="T83" s="576"/>
      <c r="U83" s="576"/>
      <c r="V83" s="576"/>
      <c r="W83" s="576"/>
      <c r="X83" s="576"/>
      <c r="Y83" s="98"/>
      <c r="Z83" s="98"/>
      <c r="AA83" s="98"/>
      <c r="AB83" s="98"/>
      <c r="AC83" s="98"/>
      <c r="AD83" s="98"/>
      <c r="AE83" s="576"/>
      <c r="AF83" s="576"/>
      <c r="AG83" s="576"/>
      <c r="AH83" s="576"/>
      <c r="AI83" s="576"/>
      <c r="AJ83" s="576"/>
      <c r="AK83" s="576"/>
      <c r="AL83" s="576"/>
      <c r="AM83" s="576"/>
      <c r="AN83" s="576"/>
      <c r="AO83" s="576"/>
      <c r="AP83" s="576"/>
      <c r="AQ83" s="576"/>
      <c r="AR83" s="576"/>
      <c r="AS83" s="576"/>
      <c r="AT83" s="576"/>
      <c r="AU83" s="576"/>
      <c r="AV83" s="576"/>
      <c r="AW83" s="576"/>
      <c r="AX83" s="576"/>
      <c r="AY83" s="576"/>
      <c r="AZ83" s="576"/>
      <c r="BA83" s="576"/>
      <c r="BB83" s="576"/>
      <c r="BC83" s="577"/>
    </row>
    <row r="84" spans="1:55" x14ac:dyDescent="0.2">
      <c r="A84" s="576"/>
      <c r="B84" s="98"/>
      <c r="C84" s="98"/>
      <c r="D84" s="98"/>
      <c r="E84" s="576"/>
      <c r="F84" s="576"/>
      <c r="G84" s="576"/>
      <c r="H84" s="576"/>
      <c r="I84" s="576"/>
      <c r="J84" s="576"/>
      <c r="K84" s="576"/>
      <c r="L84" s="576"/>
      <c r="M84" s="576"/>
      <c r="N84" s="576"/>
      <c r="O84" s="576"/>
      <c r="P84" s="576"/>
      <c r="Q84" s="576"/>
      <c r="R84" s="576"/>
      <c r="S84" s="576"/>
      <c r="T84" s="576"/>
      <c r="U84" s="576"/>
      <c r="V84" s="576"/>
      <c r="W84" s="576"/>
      <c r="X84" s="576"/>
      <c r="Y84" s="98"/>
      <c r="Z84" s="98"/>
      <c r="AA84" s="98"/>
      <c r="AB84" s="98"/>
      <c r="AC84" s="98"/>
      <c r="AD84" s="98"/>
      <c r="AE84" s="576"/>
      <c r="AF84" s="576"/>
      <c r="AG84" s="576"/>
      <c r="AH84" s="576"/>
      <c r="AI84" s="576"/>
      <c r="AJ84" s="576"/>
      <c r="AK84" s="576"/>
      <c r="AL84" s="576"/>
      <c r="AM84" s="576"/>
      <c r="AN84" s="576"/>
      <c r="AO84" s="576"/>
      <c r="AP84" s="576"/>
      <c r="AQ84" s="576"/>
      <c r="AR84" s="576"/>
      <c r="AS84" s="576"/>
      <c r="AT84" s="576"/>
      <c r="AU84" s="576"/>
      <c r="AV84" s="576"/>
      <c r="AW84" s="576"/>
      <c r="AX84" s="576"/>
      <c r="AY84" s="576"/>
      <c r="AZ84" s="576"/>
      <c r="BA84" s="576"/>
      <c r="BB84" s="576"/>
      <c r="BC84" s="577"/>
    </row>
    <row r="85" spans="1:55" x14ac:dyDescent="0.2">
      <c r="A85" s="576"/>
      <c r="B85" s="98"/>
      <c r="C85" s="98"/>
      <c r="D85" s="98"/>
      <c r="E85" s="576"/>
      <c r="F85" s="576"/>
      <c r="G85" s="576"/>
      <c r="H85" s="576"/>
      <c r="I85" s="576"/>
      <c r="J85" s="576"/>
      <c r="K85" s="576"/>
      <c r="L85" s="576"/>
      <c r="M85" s="576"/>
      <c r="N85" s="576"/>
      <c r="O85" s="576"/>
      <c r="P85" s="576"/>
      <c r="Q85" s="576"/>
      <c r="R85" s="576"/>
      <c r="S85" s="576"/>
      <c r="T85" s="576"/>
      <c r="U85" s="576"/>
      <c r="V85" s="576"/>
      <c r="W85" s="576"/>
      <c r="X85" s="576"/>
      <c r="Y85" s="98"/>
      <c r="Z85" s="98"/>
      <c r="AA85" s="98"/>
      <c r="AB85" s="98"/>
      <c r="AC85" s="98"/>
      <c r="AD85" s="98"/>
      <c r="AE85" s="576"/>
      <c r="AF85" s="576"/>
      <c r="AG85" s="576"/>
      <c r="AH85" s="576"/>
      <c r="AI85" s="576"/>
      <c r="AJ85" s="576"/>
      <c r="AK85" s="576"/>
      <c r="AL85" s="576"/>
      <c r="AM85" s="576"/>
      <c r="AN85" s="576"/>
      <c r="AO85" s="576"/>
      <c r="AP85" s="576"/>
      <c r="AQ85" s="576"/>
      <c r="AR85" s="576"/>
      <c r="AS85" s="576"/>
      <c r="AT85" s="576"/>
      <c r="AU85" s="576"/>
      <c r="AV85" s="576"/>
      <c r="AW85" s="576"/>
      <c r="AX85" s="576"/>
      <c r="AY85" s="576"/>
      <c r="AZ85" s="576"/>
      <c r="BA85" s="576"/>
      <c r="BB85" s="576"/>
      <c r="BC85" s="577"/>
    </row>
    <row r="86" spans="1:55" x14ac:dyDescent="0.2">
      <c r="A86" s="576"/>
      <c r="B86" s="98"/>
      <c r="C86" s="98"/>
      <c r="D86" s="98"/>
      <c r="E86" s="576"/>
      <c r="F86" s="576"/>
      <c r="G86" s="576"/>
      <c r="H86" s="576"/>
      <c r="I86" s="576"/>
      <c r="J86" s="576"/>
      <c r="K86" s="576"/>
      <c r="L86" s="576"/>
      <c r="M86" s="576"/>
      <c r="N86" s="576"/>
      <c r="O86" s="576"/>
      <c r="P86" s="576"/>
      <c r="Q86" s="576"/>
      <c r="R86" s="576"/>
      <c r="S86" s="576"/>
      <c r="T86" s="576"/>
      <c r="U86" s="576"/>
      <c r="V86" s="576"/>
      <c r="W86" s="576"/>
      <c r="X86" s="576"/>
      <c r="Y86" s="98"/>
      <c r="Z86" s="98"/>
      <c r="AA86" s="98"/>
      <c r="AB86" s="98"/>
      <c r="AC86" s="98"/>
      <c r="AD86" s="98"/>
      <c r="AE86" s="576"/>
      <c r="AF86" s="576"/>
      <c r="AG86" s="576"/>
      <c r="AH86" s="576"/>
      <c r="AI86" s="576"/>
      <c r="AJ86" s="576"/>
      <c r="AK86" s="576"/>
      <c r="AL86" s="576"/>
      <c r="AM86" s="576"/>
      <c r="AN86" s="576"/>
      <c r="AO86" s="576"/>
      <c r="AP86" s="576"/>
      <c r="AQ86" s="576"/>
      <c r="AR86" s="576"/>
      <c r="AS86" s="576"/>
      <c r="AT86" s="576"/>
      <c r="AU86" s="576"/>
      <c r="AV86" s="576"/>
      <c r="AW86" s="576"/>
      <c r="AX86" s="576"/>
      <c r="AY86" s="576"/>
      <c r="AZ86" s="576"/>
      <c r="BA86" s="576"/>
      <c r="BB86" s="576"/>
      <c r="BC86" s="577"/>
    </row>
    <row r="87" spans="1:55" x14ac:dyDescent="0.2">
      <c r="A87" s="576"/>
      <c r="B87" s="98"/>
      <c r="C87" s="98"/>
      <c r="D87" s="98"/>
      <c r="E87" s="576"/>
      <c r="F87" s="576"/>
      <c r="G87" s="576"/>
      <c r="H87" s="576"/>
      <c r="I87" s="576"/>
      <c r="J87" s="576"/>
      <c r="K87" s="576"/>
      <c r="L87" s="576"/>
      <c r="M87" s="576"/>
      <c r="N87" s="576"/>
      <c r="O87" s="576"/>
      <c r="P87" s="576"/>
      <c r="Q87" s="576"/>
      <c r="R87" s="576"/>
      <c r="S87" s="576"/>
      <c r="T87" s="576"/>
      <c r="U87" s="576"/>
      <c r="V87" s="576"/>
      <c r="W87" s="576"/>
      <c r="X87" s="576"/>
      <c r="Y87" s="98"/>
      <c r="Z87" s="98"/>
      <c r="AA87" s="98"/>
      <c r="AB87" s="98"/>
      <c r="AC87" s="98"/>
      <c r="AD87" s="98"/>
      <c r="AE87" s="576"/>
      <c r="AF87" s="576"/>
      <c r="AG87" s="576"/>
      <c r="AH87" s="576"/>
      <c r="AI87" s="576"/>
      <c r="AJ87" s="576"/>
      <c r="AK87" s="576"/>
      <c r="AL87" s="576"/>
      <c r="AM87" s="576"/>
      <c r="AN87" s="576"/>
      <c r="AO87" s="576"/>
      <c r="AP87" s="576"/>
      <c r="AQ87" s="576"/>
      <c r="AR87" s="576"/>
      <c r="AS87" s="576"/>
      <c r="AT87" s="576"/>
      <c r="AU87" s="576"/>
      <c r="AV87" s="576"/>
      <c r="AW87" s="576"/>
      <c r="AX87" s="576"/>
      <c r="AY87" s="576"/>
      <c r="AZ87" s="576"/>
      <c r="BA87" s="576"/>
      <c r="BB87" s="576"/>
      <c r="BC87" s="577"/>
    </row>
    <row r="88" spans="1:55" x14ac:dyDescent="0.2">
      <c r="A88" s="576"/>
      <c r="B88" s="98"/>
      <c r="C88" s="98"/>
      <c r="D88" s="98"/>
      <c r="E88" s="576"/>
      <c r="F88" s="576"/>
      <c r="G88" s="576"/>
      <c r="H88" s="576"/>
      <c r="I88" s="576"/>
      <c r="J88" s="576"/>
      <c r="K88" s="576"/>
      <c r="L88" s="576"/>
      <c r="M88" s="576"/>
      <c r="N88" s="576"/>
      <c r="O88" s="576"/>
      <c r="P88" s="576"/>
      <c r="Q88" s="576"/>
      <c r="R88" s="576"/>
      <c r="S88" s="576"/>
      <c r="T88" s="576"/>
      <c r="U88" s="576"/>
      <c r="V88" s="576"/>
      <c r="W88" s="576"/>
      <c r="X88" s="576"/>
      <c r="Y88" s="98"/>
      <c r="Z88" s="98"/>
      <c r="AA88" s="98"/>
      <c r="AB88" s="98"/>
      <c r="AC88" s="98"/>
      <c r="AD88" s="98"/>
      <c r="AE88" s="576"/>
      <c r="AF88" s="576"/>
      <c r="AG88" s="576"/>
      <c r="AH88" s="576"/>
      <c r="AI88" s="576"/>
      <c r="AJ88" s="576"/>
      <c r="AK88" s="576"/>
      <c r="AL88" s="576"/>
      <c r="AM88" s="576"/>
      <c r="AN88" s="576"/>
      <c r="AO88" s="576"/>
      <c r="AP88" s="576"/>
      <c r="AQ88" s="576"/>
      <c r="AR88" s="576"/>
      <c r="AS88" s="576"/>
      <c r="AT88" s="576"/>
      <c r="AU88" s="576"/>
      <c r="AV88" s="576"/>
      <c r="AW88" s="576"/>
      <c r="AX88" s="576"/>
      <c r="AY88" s="576"/>
      <c r="AZ88" s="576"/>
      <c r="BA88" s="576"/>
      <c r="BB88" s="576"/>
      <c r="BC88" s="577"/>
    </row>
    <row r="89" spans="1:55" x14ac:dyDescent="0.2">
      <c r="A89" s="576"/>
      <c r="B89" s="98"/>
      <c r="C89" s="98"/>
      <c r="D89" s="98"/>
      <c r="E89" s="576"/>
      <c r="F89" s="576"/>
      <c r="G89" s="576"/>
      <c r="H89" s="576"/>
      <c r="I89" s="576"/>
      <c r="J89" s="576"/>
      <c r="K89" s="576"/>
      <c r="L89" s="576"/>
      <c r="M89" s="576"/>
      <c r="N89" s="576"/>
      <c r="O89" s="576"/>
      <c r="P89" s="576"/>
      <c r="Q89" s="576"/>
      <c r="R89" s="576"/>
      <c r="S89" s="576"/>
      <c r="T89" s="576"/>
      <c r="U89" s="576"/>
      <c r="V89" s="576"/>
      <c r="W89" s="576"/>
      <c r="X89" s="576"/>
      <c r="Y89" s="98"/>
      <c r="Z89" s="98"/>
      <c r="AA89" s="98"/>
      <c r="AB89" s="98"/>
      <c r="AC89" s="98"/>
      <c r="AD89" s="98"/>
      <c r="AE89" s="576"/>
      <c r="AF89" s="576"/>
      <c r="AG89" s="576"/>
      <c r="AH89" s="576"/>
      <c r="AI89" s="576"/>
      <c r="AJ89" s="576"/>
      <c r="AK89" s="576"/>
      <c r="AL89" s="576"/>
      <c r="AM89" s="576"/>
      <c r="AN89" s="576"/>
      <c r="AO89" s="576"/>
      <c r="AP89" s="576"/>
      <c r="AQ89" s="576"/>
      <c r="AR89" s="576"/>
      <c r="AS89" s="576"/>
      <c r="AT89" s="576"/>
      <c r="AU89" s="576"/>
      <c r="AV89" s="576"/>
      <c r="AW89" s="576"/>
      <c r="AX89" s="576"/>
      <c r="AY89" s="576"/>
      <c r="AZ89" s="576"/>
      <c r="BA89" s="576"/>
      <c r="BB89" s="576"/>
      <c r="BC89" s="577"/>
    </row>
    <row r="90" spans="1:55" x14ac:dyDescent="0.2">
      <c r="A90" s="579"/>
      <c r="B90" s="100"/>
      <c r="C90" s="100"/>
      <c r="D90" s="100"/>
      <c r="E90" s="579"/>
      <c r="F90" s="579"/>
      <c r="G90" s="579"/>
      <c r="H90" s="579"/>
      <c r="I90" s="579"/>
      <c r="J90" s="579"/>
      <c r="K90" s="579"/>
      <c r="L90" s="579"/>
      <c r="M90" s="579"/>
      <c r="N90" s="579"/>
      <c r="O90" s="579"/>
      <c r="P90" s="579"/>
      <c r="Q90" s="579"/>
      <c r="R90" s="579"/>
      <c r="S90" s="579"/>
      <c r="T90" s="579"/>
      <c r="U90" s="579"/>
      <c r="V90" s="579"/>
      <c r="W90" s="579"/>
      <c r="X90" s="579"/>
      <c r="Y90" s="100"/>
      <c r="Z90" s="100"/>
      <c r="AA90" s="100"/>
      <c r="AB90" s="100"/>
      <c r="AC90" s="100"/>
      <c r="AD90" s="100"/>
      <c r="AE90" s="579"/>
      <c r="AF90" s="579"/>
      <c r="AG90" s="579"/>
      <c r="AH90" s="579"/>
      <c r="AI90" s="579"/>
      <c r="AJ90" s="579"/>
      <c r="AK90" s="579"/>
      <c r="AL90" s="579"/>
      <c r="AM90" s="579"/>
      <c r="AN90" s="579"/>
      <c r="AO90" s="579"/>
      <c r="AP90" s="579"/>
      <c r="AQ90" s="579"/>
      <c r="AR90" s="579"/>
      <c r="AS90" s="579"/>
      <c r="AT90" s="579"/>
      <c r="AU90" s="579"/>
      <c r="AV90" s="579"/>
      <c r="AW90" s="579"/>
      <c r="AX90" s="579"/>
      <c r="AY90" s="579"/>
      <c r="AZ90" s="579"/>
      <c r="BA90" s="579"/>
      <c r="BB90" s="579"/>
      <c r="BC90" s="580"/>
    </row>
  </sheetData>
  <sheetProtection algorithmName="SHA-512" hashValue="2ciiOp7F2BW4MfHSGDtK6ZT1IrgGx5fDkc89FBNcNkRD0U7Oq6RCJShs9peeEoqMBJfKzDmRCEdK+0JoKO3vLA==" saltValue="VTtHkPiZ6P3OOM5Z2MkD2g==" spinCount="100000" sheet="1" selectLockedCells="1"/>
  <dataConsolidate link="1"/>
  <mergeCells count="5">
    <mergeCell ref="B7:B10"/>
    <mergeCell ref="B11:B14"/>
    <mergeCell ref="B15:B18"/>
    <mergeCell ref="Z7:Z18"/>
    <mergeCell ref="Z19:Z22"/>
  </mergeCells>
  <conditionalFormatting sqref="E4:X4 E7:X22">
    <cfRule type="notContainsBlanks" dxfId="1" priority="1">
      <formula>LEN(TRIM(E4))&gt;0</formula>
    </cfRule>
  </conditionalFormatting>
  <dataValidations count="1">
    <dataValidation type="whole" allowBlank="1" showInputMessage="1" showErrorMessage="1" errorTitle="Attenzione" error="Il servizio deve avere una durata minima di 1 mese e una durata massima di 48 mesi" sqref="E4:X4" xr:uid="{00000000-0002-0000-1C00-000000000000}">
      <formula1>1</formula1>
      <formula2>48</formula2>
    </dataValidation>
  </dataValidations>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28">
    <tabColor rgb="FFFFFF00"/>
  </sheetPr>
  <dimension ref="A1:J42"/>
  <sheetViews>
    <sheetView zoomScale="110" zoomScaleNormal="110" workbookViewId="0">
      <pane xSplit="2" ySplit="3" topLeftCell="D4" activePane="bottomRight" state="frozen"/>
      <selection activeCell="G15" sqref="G15"/>
      <selection pane="topRight" activeCell="G15" sqref="G15"/>
      <selection pane="bottomLeft" activeCell="G15" sqref="G15"/>
      <selection pane="bottomRight" activeCell="G15" sqref="G15"/>
    </sheetView>
  </sheetViews>
  <sheetFormatPr defaultRowHeight="15" x14ac:dyDescent="0.25"/>
  <cols>
    <col min="2" max="2" width="26" customWidth="1"/>
    <col min="4" max="4" width="62.42578125" customWidth="1"/>
    <col min="5" max="5" width="8.7109375" style="24"/>
    <col min="6" max="6" width="5" style="24" customWidth="1"/>
    <col min="7" max="7" width="4.85546875" style="24" customWidth="1"/>
    <col min="8" max="8" width="1.5703125" customWidth="1"/>
    <col min="9" max="10" width="14.140625" style="24" customWidth="1"/>
  </cols>
  <sheetData>
    <row r="1" spans="1:10" ht="15.75" thickBot="1" x14ac:dyDescent="0.3">
      <c r="A1" s="913" t="s">
        <v>138</v>
      </c>
      <c r="B1" s="914"/>
      <c r="C1" s="914"/>
      <c r="D1" s="914"/>
      <c r="E1" s="914"/>
      <c r="F1" s="914"/>
      <c r="G1" s="914"/>
      <c r="H1" s="451"/>
      <c r="I1" s="917" t="s">
        <v>1243</v>
      </c>
      <c r="J1" s="918"/>
    </row>
    <row r="2" spans="1:10" ht="15.75" thickBot="1" x14ac:dyDescent="0.3">
      <c r="A2" s="915"/>
      <c r="B2" s="916"/>
      <c r="C2" s="916"/>
      <c r="D2" s="916"/>
      <c r="E2" s="916"/>
      <c r="F2" s="916"/>
      <c r="G2" s="916"/>
      <c r="H2" s="452"/>
      <c r="I2" s="411" t="s">
        <v>141</v>
      </c>
      <c r="J2" s="411" t="s">
        <v>142</v>
      </c>
    </row>
    <row r="3" spans="1:10" ht="57" thickBot="1" x14ac:dyDescent="0.3">
      <c r="A3" s="411" t="s">
        <v>74</v>
      </c>
      <c r="B3" s="412" t="s">
        <v>75</v>
      </c>
      <c r="C3" s="412" t="s">
        <v>76</v>
      </c>
      <c r="D3" s="412" t="s">
        <v>77</v>
      </c>
      <c r="E3" s="413" t="s">
        <v>1230</v>
      </c>
      <c r="F3" s="412" t="s">
        <v>80</v>
      </c>
      <c r="G3" s="412" t="s">
        <v>81</v>
      </c>
      <c r="I3" s="453" t="s">
        <v>1357</v>
      </c>
      <c r="J3" s="453" t="s">
        <v>1358</v>
      </c>
    </row>
    <row r="4" spans="1:10" ht="15.75" thickBot="1" x14ac:dyDescent="0.3">
      <c r="A4" s="879">
        <v>1</v>
      </c>
      <c r="B4" s="879" t="s">
        <v>82</v>
      </c>
      <c r="C4" s="21" t="s">
        <v>83</v>
      </c>
      <c r="D4" s="22" t="s">
        <v>84</v>
      </c>
      <c r="E4" s="33">
        <f>'Tabella PT'!J3</f>
        <v>2</v>
      </c>
      <c r="F4" s="80" t="s">
        <v>85</v>
      </c>
      <c r="G4" s="81"/>
      <c r="I4" s="94">
        <v>2</v>
      </c>
      <c r="J4" s="94">
        <v>2</v>
      </c>
    </row>
    <row r="5" spans="1:10" ht="15.75" thickBot="1" x14ac:dyDescent="0.3">
      <c r="A5" s="881"/>
      <c r="B5" s="881"/>
      <c r="C5" s="21" t="s">
        <v>86</v>
      </c>
      <c r="D5" s="22" t="s">
        <v>87</v>
      </c>
      <c r="E5" s="33">
        <f>'Tabella PT'!J4</f>
        <v>2</v>
      </c>
      <c r="F5" s="82" t="s">
        <v>85</v>
      </c>
      <c r="G5" s="34"/>
      <c r="I5" s="94">
        <v>2</v>
      </c>
      <c r="J5" s="94">
        <v>2</v>
      </c>
    </row>
    <row r="6" spans="1:10" ht="15.75" thickBot="1" x14ac:dyDescent="0.3">
      <c r="A6" s="881"/>
      <c r="B6" s="881"/>
      <c r="C6" s="21" t="s">
        <v>88</v>
      </c>
      <c r="D6" s="22" t="s">
        <v>89</v>
      </c>
      <c r="E6" s="33">
        <f>'Tabella PT'!J5</f>
        <v>2</v>
      </c>
      <c r="F6" s="82" t="s">
        <v>85</v>
      </c>
      <c r="G6" s="34"/>
      <c r="I6" s="94">
        <v>2</v>
      </c>
      <c r="J6" s="94">
        <v>2</v>
      </c>
    </row>
    <row r="7" spans="1:10" ht="15.75" thickBot="1" x14ac:dyDescent="0.3">
      <c r="A7" s="880"/>
      <c r="B7" s="880"/>
      <c r="C7" s="21" t="s">
        <v>90</v>
      </c>
      <c r="D7" s="22" t="s">
        <v>91</v>
      </c>
      <c r="E7" s="33">
        <f>'Tabella PT'!J6</f>
        <v>2</v>
      </c>
      <c r="F7" s="82" t="s">
        <v>85</v>
      </c>
      <c r="G7" s="34"/>
      <c r="I7" s="94">
        <v>2</v>
      </c>
      <c r="J7" s="94">
        <v>0</v>
      </c>
    </row>
    <row r="8" spans="1:10" ht="15.95" customHeight="1" thickBot="1" x14ac:dyDescent="0.3">
      <c r="A8" s="879">
        <v>2</v>
      </c>
      <c r="B8" s="879" t="s">
        <v>188</v>
      </c>
      <c r="C8" s="21" t="s">
        <v>92</v>
      </c>
      <c r="D8" s="22" t="s">
        <v>93</v>
      </c>
      <c r="E8" s="33">
        <f>'Tabella PT'!J7</f>
        <v>4.5</v>
      </c>
      <c r="F8" s="82" t="s">
        <v>85</v>
      </c>
      <c r="G8" s="34"/>
      <c r="I8" s="94">
        <v>2.7320000000000002</v>
      </c>
      <c r="J8" s="94">
        <v>2.7320000000000002</v>
      </c>
    </row>
    <row r="9" spans="1:10" ht="15.75" thickBot="1" x14ac:dyDescent="0.3">
      <c r="A9" s="880"/>
      <c r="B9" s="880"/>
      <c r="C9" s="21" t="s">
        <v>1159</v>
      </c>
      <c r="D9" s="22" t="s">
        <v>94</v>
      </c>
      <c r="E9" s="33">
        <f>'Tabella PT'!J8</f>
        <v>2.5</v>
      </c>
      <c r="F9" s="82" t="s">
        <v>85</v>
      </c>
      <c r="G9" s="34"/>
      <c r="I9" s="94">
        <v>2.21</v>
      </c>
      <c r="J9" s="94">
        <v>1.3280000000000001</v>
      </c>
    </row>
    <row r="10" spans="1:10" ht="15.95" customHeight="1" thickBot="1" x14ac:dyDescent="0.3">
      <c r="A10" s="879">
        <v>3</v>
      </c>
      <c r="B10" s="879" t="s">
        <v>95</v>
      </c>
      <c r="C10" s="21" t="s">
        <v>96</v>
      </c>
      <c r="D10" s="22" t="s">
        <v>189</v>
      </c>
      <c r="E10" s="33">
        <f>'Tabella PT'!J9</f>
        <v>8.4</v>
      </c>
      <c r="F10" s="83"/>
      <c r="G10" s="35" t="s">
        <v>85</v>
      </c>
      <c r="I10" s="94">
        <v>8.4</v>
      </c>
      <c r="J10" s="94">
        <v>8.4</v>
      </c>
    </row>
    <row r="11" spans="1:10" ht="15.75" thickBot="1" x14ac:dyDescent="0.3">
      <c r="A11" s="881"/>
      <c r="B11" s="881"/>
      <c r="C11" s="21" t="s">
        <v>97</v>
      </c>
      <c r="D11" s="22" t="s">
        <v>164</v>
      </c>
      <c r="E11" s="33">
        <f>'Tabella PT'!J10</f>
        <v>0.65</v>
      </c>
      <c r="F11" s="83"/>
      <c r="G11" s="35" t="s">
        <v>85</v>
      </c>
      <c r="I11" s="94">
        <v>0.65</v>
      </c>
      <c r="J11" s="94">
        <v>0.65</v>
      </c>
    </row>
    <row r="12" spans="1:10" ht="26.25" thickBot="1" x14ac:dyDescent="0.3">
      <c r="A12" s="881"/>
      <c r="B12" s="881"/>
      <c r="C12" s="21" t="s">
        <v>98</v>
      </c>
      <c r="D12" s="22" t="s">
        <v>191</v>
      </c>
      <c r="E12" s="33">
        <f>'Tabella PT'!J11</f>
        <v>2.85</v>
      </c>
      <c r="F12" s="83"/>
      <c r="G12" s="35" t="s">
        <v>85</v>
      </c>
      <c r="I12" s="94">
        <v>2.85</v>
      </c>
      <c r="J12" s="94">
        <v>2.85</v>
      </c>
    </row>
    <row r="13" spans="1:10" ht="26.25" thickBot="1" x14ac:dyDescent="0.3">
      <c r="A13" s="881"/>
      <c r="B13" s="881"/>
      <c r="C13" s="21" t="s">
        <v>99</v>
      </c>
      <c r="D13" s="22" t="s">
        <v>192</v>
      </c>
      <c r="E13" s="33">
        <f>'Tabella PT'!J12</f>
        <v>5.15</v>
      </c>
      <c r="F13" s="83"/>
      <c r="G13" s="35" t="s">
        <v>85</v>
      </c>
      <c r="I13" s="94">
        <v>5.15</v>
      </c>
      <c r="J13" s="94">
        <v>5.15</v>
      </c>
    </row>
    <row r="14" spans="1:10" ht="26.25" thickBot="1" x14ac:dyDescent="0.3">
      <c r="A14" s="881"/>
      <c r="B14" s="881"/>
      <c r="C14" s="21" t="s">
        <v>100</v>
      </c>
      <c r="D14" s="22" t="s">
        <v>193</v>
      </c>
      <c r="E14" s="33">
        <f>'Tabella PT'!J13</f>
        <v>1.55</v>
      </c>
      <c r="F14" s="83"/>
      <c r="G14" s="35" t="s">
        <v>85</v>
      </c>
      <c r="I14" s="94">
        <v>1.55</v>
      </c>
      <c r="J14" s="94">
        <v>1.55</v>
      </c>
    </row>
    <row r="15" spans="1:10" ht="26.25" thickBot="1" x14ac:dyDescent="0.3">
      <c r="A15" s="881"/>
      <c r="B15" s="881"/>
      <c r="C15" s="21" t="s">
        <v>101</v>
      </c>
      <c r="D15" s="22" t="s">
        <v>194</v>
      </c>
      <c r="E15" s="33">
        <f>'Tabella PT'!J14</f>
        <v>2.35</v>
      </c>
      <c r="F15" s="83"/>
      <c r="G15" s="35" t="s">
        <v>85</v>
      </c>
      <c r="I15" s="94">
        <v>2.35</v>
      </c>
      <c r="J15" s="94">
        <v>1.3</v>
      </c>
    </row>
    <row r="16" spans="1:10" ht="26.25" thickBot="1" x14ac:dyDescent="0.3">
      <c r="A16" s="881"/>
      <c r="B16" s="881"/>
      <c r="C16" s="21" t="s">
        <v>102</v>
      </c>
      <c r="D16" s="22" t="s">
        <v>195</v>
      </c>
      <c r="E16" s="33">
        <f>'Tabella PT'!J15</f>
        <v>1.85</v>
      </c>
      <c r="F16" s="83"/>
      <c r="G16" s="35" t="s">
        <v>85</v>
      </c>
      <c r="I16" s="94">
        <v>1.85</v>
      </c>
      <c r="J16" s="94">
        <v>1.454</v>
      </c>
    </row>
    <row r="17" spans="1:10" ht="26.25" thickBot="1" x14ac:dyDescent="0.3">
      <c r="A17" s="881"/>
      <c r="B17" s="881"/>
      <c r="C17" s="21" t="s">
        <v>103</v>
      </c>
      <c r="D17" s="22" t="s">
        <v>196</v>
      </c>
      <c r="E17" s="33">
        <f>'Tabella PT'!J16</f>
        <v>1</v>
      </c>
      <c r="F17" s="83"/>
      <c r="G17" s="35" t="s">
        <v>85</v>
      </c>
      <c r="I17" s="94">
        <v>1</v>
      </c>
      <c r="J17" s="94">
        <v>0.62</v>
      </c>
    </row>
    <row r="18" spans="1:10" ht="26.25" thickBot="1" x14ac:dyDescent="0.3">
      <c r="A18" s="881"/>
      <c r="B18" s="881"/>
      <c r="C18" s="21" t="s">
        <v>104</v>
      </c>
      <c r="D18" s="22" t="s">
        <v>197</v>
      </c>
      <c r="E18" s="33">
        <f>'Tabella PT'!J17</f>
        <v>1.1499999999999999</v>
      </c>
      <c r="F18" s="83"/>
      <c r="G18" s="35" t="s">
        <v>85</v>
      </c>
      <c r="I18" s="94">
        <v>1.1499999999999999</v>
      </c>
      <c r="J18" s="94">
        <v>1.022</v>
      </c>
    </row>
    <row r="19" spans="1:10" ht="26.25" thickBot="1" x14ac:dyDescent="0.3">
      <c r="A19" s="881"/>
      <c r="B19" s="881"/>
      <c r="C19" s="21" t="s">
        <v>105</v>
      </c>
      <c r="D19" s="22" t="s">
        <v>198</v>
      </c>
      <c r="E19" s="33">
        <f>'Tabella PT'!J18</f>
        <v>1.05</v>
      </c>
      <c r="F19" s="83"/>
      <c r="G19" s="35" t="s">
        <v>85</v>
      </c>
      <c r="I19" s="94">
        <v>0.82699999999999996</v>
      </c>
      <c r="J19" s="94">
        <v>0.56599999999999995</v>
      </c>
    </row>
    <row r="20" spans="1:10" ht="15.75" thickBot="1" x14ac:dyDescent="0.3">
      <c r="A20" s="881"/>
      <c r="B20" s="881"/>
      <c r="C20" s="21" t="s">
        <v>106</v>
      </c>
      <c r="D20" s="22" t="s">
        <v>187</v>
      </c>
      <c r="E20" s="33">
        <f>'Tabella PT'!J19</f>
        <v>1.1000000000000001</v>
      </c>
      <c r="F20" s="83"/>
      <c r="G20" s="35" t="s">
        <v>85</v>
      </c>
      <c r="I20" s="94">
        <v>1.1000000000000001</v>
      </c>
      <c r="J20" s="94">
        <v>1.1000000000000001</v>
      </c>
    </row>
    <row r="21" spans="1:10" ht="15.75" thickBot="1" x14ac:dyDescent="0.3">
      <c r="A21" s="881"/>
      <c r="B21" s="881"/>
      <c r="C21" s="21" t="s">
        <v>107</v>
      </c>
      <c r="D21" s="22" t="s">
        <v>166</v>
      </c>
      <c r="E21" s="33">
        <f>'Tabella PT'!J20</f>
        <v>1.1499999999999999</v>
      </c>
      <c r="F21" s="83"/>
      <c r="G21" s="35" t="s">
        <v>85</v>
      </c>
      <c r="I21" s="94">
        <v>1.1499999999999999</v>
      </c>
      <c r="J21" s="94">
        <v>0.90600000000000003</v>
      </c>
    </row>
    <row r="22" spans="1:10" ht="26.25" thickBot="1" x14ac:dyDescent="0.3">
      <c r="A22" s="881"/>
      <c r="B22" s="881"/>
      <c r="C22" s="21" t="s">
        <v>109</v>
      </c>
      <c r="D22" s="22" t="s">
        <v>199</v>
      </c>
      <c r="E22" s="33">
        <f>'Tabella PT'!J21</f>
        <v>1.25</v>
      </c>
      <c r="F22" s="83"/>
      <c r="G22" s="35" t="s">
        <v>85</v>
      </c>
      <c r="I22" s="94">
        <v>0.77600000000000002</v>
      </c>
      <c r="J22" s="94">
        <v>0.88400000000000001</v>
      </c>
    </row>
    <row r="23" spans="1:10" ht="15.75" thickBot="1" x14ac:dyDescent="0.3">
      <c r="A23" s="881"/>
      <c r="B23" s="881"/>
      <c r="C23" s="21" t="s">
        <v>110</v>
      </c>
      <c r="D23" s="22" t="s">
        <v>200</v>
      </c>
      <c r="E23" s="33">
        <f>'Tabella PT'!J22</f>
        <v>1</v>
      </c>
      <c r="F23" s="83"/>
      <c r="G23" s="35" t="s">
        <v>85</v>
      </c>
      <c r="I23" s="94">
        <v>0.62</v>
      </c>
      <c r="J23" s="94">
        <v>0.79700000000000004</v>
      </c>
    </row>
    <row r="24" spans="1:10" ht="15.75" thickBot="1" x14ac:dyDescent="0.3">
      <c r="A24" s="881"/>
      <c r="B24" s="881"/>
      <c r="C24" s="21" t="s">
        <v>111</v>
      </c>
      <c r="D24" s="22" t="s">
        <v>108</v>
      </c>
      <c r="E24" s="33">
        <f>'Tabella PT'!J23</f>
        <v>1.5</v>
      </c>
      <c r="F24" s="83"/>
      <c r="G24" s="35" t="s">
        <v>85</v>
      </c>
      <c r="I24" s="94">
        <v>1.5</v>
      </c>
      <c r="J24" s="94">
        <v>1.5</v>
      </c>
    </row>
    <row r="25" spans="1:10" ht="15.75" thickBot="1" x14ac:dyDescent="0.3">
      <c r="A25" s="881"/>
      <c r="B25" s="881"/>
      <c r="C25" s="21" t="s">
        <v>112</v>
      </c>
      <c r="D25" s="22" t="s">
        <v>174</v>
      </c>
      <c r="E25" s="33">
        <f>'Tabella PT'!J24</f>
        <v>3.5</v>
      </c>
      <c r="F25" s="82" t="s">
        <v>85</v>
      </c>
      <c r="G25" s="34"/>
      <c r="I25" s="94">
        <v>3.077</v>
      </c>
      <c r="J25" s="94">
        <v>3.077</v>
      </c>
    </row>
    <row r="26" spans="1:10" ht="15.75" thickBot="1" x14ac:dyDescent="0.3">
      <c r="A26" s="881"/>
      <c r="B26" s="881"/>
      <c r="C26" s="21" t="s">
        <v>113</v>
      </c>
      <c r="D26" s="22" t="s">
        <v>175</v>
      </c>
      <c r="E26" s="33">
        <f>'Tabella PT'!J25</f>
        <v>2.8</v>
      </c>
      <c r="F26" s="82" t="s">
        <v>85</v>
      </c>
      <c r="G26" s="34"/>
      <c r="I26" s="94">
        <v>2.4809999999999999</v>
      </c>
      <c r="J26" s="94">
        <v>2.4889999999999999</v>
      </c>
    </row>
    <row r="27" spans="1:10" ht="15.75" thickBot="1" x14ac:dyDescent="0.3">
      <c r="A27" s="881"/>
      <c r="B27" s="881"/>
      <c r="C27" s="21" t="s">
        <v>114</v>
      </c>
      <c r="D27" s="22" t="s">
        <v>176</v>
      </c>
      <c r="E27" s="33">
        <f>'Tabella PT'!J26</f>
        <v>0.95</v>
      </c>
      <c r="F27" s="82" t="s">
        <v>85</v>
      </c>
      <c r="G27" s="34"/>
      <c r="I27" s="94">
        <v>0.95</v>
      </c>
      <c r="J27" s="94">
        <v>0.95</v>
      </c>
    </row>
    <row r="28" spans="1:10" ht="26.25" thickBot="1" x14ac:dyDescent="0.3">
      <c r="A28" s="881"/>
      <c r="B28" s="881"/>
      <c r="C28" s="21" t="s">
        <v>165</v>
      </c>
      <c r="D28" s="22" t="s">
        <v>201</v>
      </c>
      <c r="E28" s="33">
        <f>'Tabella PT'!J27</f>
        <v>0.75</v>
      </c>
      <c r="F28" s="82" t="s">
        <v>85</v>
      </c>
      <c r="G28" s="34"/>
      <c r="I28" s="94">
        <v>0.75</v>
      </c>
      <c r="J28" s="94">
        <v>0.75</v>
      </c>
    </row>
    <row r="29" spans="1:10" ht="26.25" thickBot="1" x14ac:dyDescent="0.3">
      <c r="A29" s="881"/>
      <c r="B29" s="881"/>
      <c r="C29" s="21" t="s">
        <v>172</v>
      </c>
      <c r="D29" s="22" t="s">
        <v>202</v>
      </c>
      <c r="E29" s="33">
        <f>'Tabella PT'!J28</f>
        <v>0.75</v>
      </c>
      <c r="F29" s="82" t="s">
        <v>85</v>
      </c>
      <c r="G29" s="34"/>
      <c r="I29" s="94">
        <v>0.75</v>
      </c>
      <c r="J29" s="94">
        <v>0.75</v>
      </c>
    </row>
    <row r="30" spans="1:10" ht="26.25" thickBot="1" x14ac:dyDescent="0.3">
      <c r="A30" s="881"/>
      <c r="B30" s="881"/>
      <c r="C30" s="21" t="s">
        <v>173</v>
      </c>
      <c r="D30" s="22" t="s">
        <v>203</v>
      </c>
      <c r="E30" s="33">
        <f>'Tabella PT'!J29</f>
        <v>1.75</v>
      </c>
      <c r="F30" s="82" t="s">
        <v>85</v>
      </c>
      <c r="G30" s="34"/>
      <c r="I30" s="94">
        <v>1.75</v>
      </c>
      <c r="J30" s="94">
        <v>1.75</v>
      </c>
    </row>
    <row r="31" spans="1:10" ht="26.25" thickBot="1" x14ac:dyDescent="0.3">
      <c r="A31" s="880"/>
      <c r="B31" s="880"/>
      <c r="C31" s="21" t="s">
        <v>190</v>
      </c>
      <c r="D31" s="22" t="s">
        <v>204</v>
      </c>
      <c r="E31" s="33">
        <f>'Tabella PT'!J30</f>
        <v>1.75</v>
      </c>
      <c r="F31" s="82" t="s">
        <v>85</v>
      </c>
      <c r="G31" s="34"/>
      <c r="I31" s="94">
        <v>1.75</v>
      </c>
      <c r="J31" s="94">
        <v>1.75</v>
      </c>
    </row>
    <row r="32" spans="1:10" ht="15.95" customHeight="1" thickBot="1" x14ac:dyDescent="0.3">
      <c r="A32" s="879">
        <v>4</v>
      </c>
      <c r="B32" s="879" t="s">
        <v>205</v>
      </c>
      <c r="C32" s="21" t="s">
        <v>115</v>
      </c>
      <c r="D32" s="22" t="s">
        <v>167</v>
      </c>
      <c r="E32" s="33">
        <f>'Tabella PT'!J31</f>
        <v>1.75</v>
      </c>
      <c r="F32" s="82" t="s">
        <v>85</v>
      </c>
      <c r="G32" s="34"/>
      <c r="I32" s="94">
        <v>1.75</v>
      </c>
      <c r="J32" s="94">
        <v>0.749</v>
      </c>
    </row>
    <row r="33" spans="1:10" ht="15.75" thickBot="1" x14ac:dyDescent="0.3">
      <c r="A33" s="881"/>
      <c r="B33" s="881"/>
      <c r="C33" s="21" t="s">
        <v>116</v>
      </c>
      <c r="D33" s="22" t="s">
        <v>206</v>
      </c>
      <c r="E33" s="33">
        <f>'Tabella PT'!J32</f>
        <v>1.4</v>
      </c>
      <c r="F33" s="82" t="s">
        <v>85</v>
      </c>
      <c r="G33" s="34"/>
      <c r="I33" s="94">
        <v>1.4</v>
      </c>
      <c r="J33" s="94">
        <v>0.67200000000000004</v>
      </c>
    </row>
    <row r="34" spans="1:10" ht="15.75" thickBot="1" x14ac:dyDescent="0.3">
      <c r="A34" s="881"/>
      <c r="B34" s="881"/>
      <c r="C34" s="21" t="s">
        <v>169</v>
      </c>
      <c r="D34" s="22" t="s">
        <v>207</v>
      </c>
      <c r="E34" s="33">
        <f>'Tabella PT'!J33</f>
        <v>1.4</v>
      </c>
      <c r="F34" s="82" t="s">
        <v>85</v>
      </c>
      <c r="G34" s="34"/>
      <c r="I34" s="94">
        <v>0.85699999999999998</v>
      </c>
      <c r="J34" s="94">
        <v>0.46899999999999997</v>
      </c>
    </row>
    <row r="35" spans="1:10" ht="15.75" thickBot="1" x14ac:dyDescent="0.3">
      <c r="A35" s="881"/>
      <c r="B35" s="881"/>
      <c r="C35" s="21" t="s">
        <v>170</v>
      </c>
      <c r="D35" s="22" t="s">
        <v>168</v>
      </c>
      <c r="E35" s="33">
        <f>'Tabella PT'!J34</f>
        <v>1.95</v>
      </c>
      <c r="F35" s="82" t="s">
        <v>85</v>
      </c>
      <c r="G35" s="34"/>
      <c r="I35" s="94">
        <v>1.5089999999999999</v>
      </c>
      <c r="J35" s="94">
        <v>1.95</v>
      </c>
    </row>
    <row r="36" spans="1:10" ht="26.25" thickBot="1" x14ac:dyDescent="0.3">
      <c r="A36" s="880"/>
      <c r="B36" s="880"/>
      <c r="C36" s="21" t="s">
        <v>171</v>
      </c>
      <c r="D36" s="22" t="s">
        <v>208</v>
      </c>
      <c r="E36" s="33">
        <f>'Tabella PT'!J35</f>
        <v>2.25</v>
      </c>
      <c r="F36" s="82" t="s">
        <v>85</v>
      </c>
      <c r="G36" s="34"/>
      <c r="I36" s="94">
        <v>1.9890000000000001</v>
      </c>
      <c r="J36" s="94">
        <v>1.9890000000000001</v>
      </c>
    </row>
    <row r="37" spans="1:10" ht="22.5" customHeight="1" thickBot="1" x14ac:dyDescent="0.3">
      <c r="A37" s="879">
        <v>5</v>
      </c>
      <c r="B37" s="879" t="s">
        <v>117</v>
      </c>
      <c r="C37" s="21" t="s">
        <v>118</v>
      </c>
      <c r="D37" s="22" t="s">
        <v>119</v>
      </c>
      <c r="E37" s="33">
        <f>'Tabella PT'!J36</f>
        <v>1.55</v>
      </c>
      <c r="F37" s="83"/>
      <c r="G37" s="35" t="s">
        <v>85</v>
      </c>
      <c r="I37" s="94">
        <v>1.55</v>
      </c>
      <c r="J37" s="94">
        <v>1.55</v>
      </c>
    </row>
    <row r="38" spans="1:10" ht="18" customHeight="1" thickBot="1" x14ac:dyDescent="0.3">
      <c r="A38" s="880"/>
      <c r="B38" s="880"/>
      <c r="C38" s="21" t="s">
        <v>120</v>
      </c>
      <c r="D38" s="22" t="s">
        <v>177</v>
      </c>
      <c r="E38" s="74">
        <f>'Tabella PT'!J37</f>
        <v>0.45</v>
      </c>
      <c r="F38" s="84"/>
      <c r="G38" s="85" t="s">
        <v>85</v>
      </c>
      <c r="I38" s="94">
        <v>0.45</v>
      </c>
      <c r="J38" s="94">
        <v>0.45</v>
      </c>
    </row>
    <row r="39" spans="1:10" ht="6.6" customHeight="1" thickBot="1" x14ac:dyDescent="0.3">
      <c r="A39" s="75"/>
      <c r="B39" s="75"/>
      <c r="C39" s="76"/>
      <c r="D39" s="77"/>
      <c r="E39" s="78"/>
      <c r="I39" s="95"/>
      <c r="J39" s="95"/>
    </row>
    <row r="40" spans="1:10" ht="15.75" thickBot="1" x14ac:dyDescent="0.3">
      <c r="E40" s="910" t="s">
        <v>240</v>
      </c>
      <c r="F40" s="911"/>
      <c r="G40" s="911"/>
      <c r="H40" s="912"/>
      <c r="I40" s="431">
        <f>SUM(I4:I38)</f>
        <v>64.878</v>
      </c>
      <c r="J40" s="431">
        <f>SUM(J4:J38)</f>
        <v>58.153999999999996</v>
      </c>
    </row>
    <row r="42" spans="1:10" ht="6.95" customHeight="1" x14ac:dyDescent="0.25"/>
  </sheetData>
  <mergeCells count="13">
    <mergeCell ref="A1:G2"/>
    <mergeCell ref="I1:J1"/>
    <mergeCell ref="A4:A7"/>
    <mergeCell ref="B4:B7"/>
    <mergeCell ref="A8:A9"/>
    <mergeCell ref="B8:B9"/>
    <mergeCell ref="E40:H40"/>
    <mergeCell ref="A10:A31"/>
    <mergeCell ref="B10:B31"/>
    <mergeCell ref="A32:A36"/>
    <mergeCell ref="B32:B36"/>
    <mergeCell ref="A37:A38"/>
    <mergeCell ref="B37:B38"/>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25"/>
  <dimension ref="A1:BE76"/>
  <sheetViews>
    <sheetView zoomScaleNormal="100" workbookViewId="0">
      <pane xSplit="6" ySplit="6" topLeftCell="G7" activePane="bottomRight" state="frozen"/>
      <selection pane="topRight" activeCell="G1" sqref="G1"/>
      <selection pane="bottomLeft" activeCell="A7" sqref="A7"/>
      <selection pane="bottomRight" activeCell="G8" sqref="G8"/>
    </sheetView>
  </sheetViews>
  <sheetFormatPr defaultColWidth="9.140625" defaultRowHeight="11.25" x14ac:dyDescent="0.2"/>
  <cols>
    <col min="1" max="1" width="0.5703125" style="573" customWidth="1"/>
    <col min="2" max="2" width="10.140625" style="99" customWidth="1"/>
    <col min="3" max="3" width="21.28515625" style="99" bestFit="1" customWidth="1"/>
    <col min="4" max="4" width="9.85546875" style="99" bestFit="1" customWidth="1"/>
    <col min="5" max="5" width="28.140625" style="99" bestFit="1" customWidth="1"/>
    <col min="6" max="6" width="14.28515625" style="99" bestFit="1" customWidth="1"/>
    <col min="7" max="26" width="10.42578125" style="573" customWidth="1"/>
    <col min="27" max="27" width="12.42578125" style="99" bestFit="1" customWidth="1"/>
    <col min="28" max="28" width="5.140625" style="99" bestFit="1" customWidth="1"/>
    <col min="29" max="29" width="7.5703125" style="99" bestFit="1" customWidth="1"/>
    <col min="30" max="30" width="12.28515625" style="99" bestFit="1" customWidth="1"/>
    <col min="31" max="31" width="7.5703125" style="99" bestFit="1" customWidth="1"/>
    <col min="32" max="32" width="12.28515625" style="99" bestFit="1" customWidth="1"/>
    <col min="33" max="16384" width="9.140625" style="573"/>
  </cols>
  <sheetData>
    <row r="1" spans="1:57" ht="12" thickBot="1" x14ac:dyDescent="0.25"/>
    <row r="2" spans="1:57" s="99" customFormat="1" ht="12.75" thickBot="1" x14ac:dyDescent="0.25">
      <c r="G2" s="263" t="s">
        <v>308</v>
      </c>
      <c r="H2" s="263" t="s">
        <v>309</v>
      </c>
      <c r="I2" s="263" t="s">
        <v>310</v>
      </c>
      <c r="J2" s="263" t="s">
        <v>311</v>
      </c>
      <c r="K2" s="263" t="s">
        <v>312</v>
      </c>
      <c r="L2" s="263" t="s">
        <v>313</v>
      </c>
      <c r="M2" s="263" t="s">
        <v>314</v>
      </c>
      <c r="N2" s="263" t="s">
        <v>315</v>
      </c>
      <c r="O2" s="263" t="s">
        <v>316</v>
      </c>
      <c r="P2" s="263" t="s">
        <v>317</v>
      </c>
      <c r="Q2" s="263" t="s">
        <v>318</v>
      </c>
      <c r="R2" s="263" t="s">
        <v>319</v>
      </c>
      <c r="S2" s="263" t="s">
        <v>320</v>
      </c>
      <c r="T2" s="263" t="s">
        <v>321</v>
      </c>
      <c r="U2" s="263" t="s">
        <v>322</v>
      </c>
      <c r="V2" s="263" t="s">
        <v>323</v>
      </c>
      <c r="W2" s="263" t="s">
        <v>324</v>
      </c>
      <c r="X2" s="263" t="s">
        <v>325</v>
      </c>
      <c r="Y2" s="263" t="s">
        <v>326</v>
      </c>
      <c r="Z2" s="263" t="s">
        <v>327</v>
      </c>
    </row>
    <row r="3" spans="1:57" s="99" customFormat="1" ht="24.75" thickBot="1" x14ac:dyDescent="0.25">
      <c r="F3" s="124" t="s">
        <v>1170</v>
      </c>
      <c r="G3" s="487" t="str">
        <f>IF('Elenco immobili'!$C$4="","",'Elenco immobili'!$C$4)</f>
        <v>Sede ICE-AGID</v>
      </c>
      <c r="H3" s="487" t="str">
        <f>IF('Elenco immobili'!$C$5="","",'Elenco immobili'!$C$5)</f>
        <v/>
      </c>
      <c r="I3" s="487" t="str">
        <f>IF('Elenco immobili'!$C$6="","",'Elenco immobili'!$C$6)</f>
        <v/>
      </c>
      <c r="J3" s="487" t="str">
        <f>IF('Elenco immobili'!$C$7="","",'Elenco immobili'!$C$7)</f>
        <v/>
      </c>
      <c r="K3" s="487" t="str">
        <f>IF('Elenco immobili'!$C$8="","",'Elenco immobili'!$C$8)</f>
        <v/>
      </c>
      <c r="L3" s="487" t="str">
        <f>IF('Elenco immobili'!$C$9="","",'Elenco immobili'!$C$9)</f>
        <v/>
      </c>
      <c r="M3" s="487" t="str">
        <f>IF('Elenco immobili'!$C$10="","",'Elenco immobili'!$C$10)</f>
        <v/>
      </c>
      <c r="N3" s="487" t="str">
        <f>IF('Elenco immobili'!$C$11="","",'Elenco immobili'!$C$11)</f>
        <v/>
      </c>
      <c r="O3" s="487" t="str">
        <f>IF('Elenco immobili'!$C$12="","",'Elenco immobili'!$C$12)</f>
        <v/>
      </c>
      <c r="P3" s="487" t="str">
        <f>IF('Elenco immobili'!$C$13="","",'Elenco immobili'!$C$13)</f>
        <v/>
      </c>
      <c r="Q3" s="487" t="str">
        <f>IF('Elenco immobili'!$C$14="","",'Elenco immobili'!$C$14)</f>
        <v/>
      </c>
      <c r="R3" s="487" t="str">
        <f>IF('Elenco immobili'!$C$15="","",'Elenco immobili'!$C$15)</f>
        <v/>
      </c>
      <c r="S3" s="487" t="str">
        <f>IF('Elenco immobili'!$C$16="","",'Elenco immobili'!$C$16)</f>
        <v/>
      </c>
      <c r="T3" s="487" t="str">
        <f>IF('Elenco immobili'!$C$17="","",'Elenco immobili'!$C$17)</f>
        <v/>
      </c>
      <c r="U3" s="487" t="str">
        <f>IF('Elenco immobili'!$C$18="","",'Elenco immobili'!$C$18)</f>
        <v/>
      </c>
      <c r="V3" s="487" t="str">
        <f>IF('Elenco immobili'!$C$19="","",'Elenco immobili'!$C$19)</f>
        <v/>
      </c>
      <c r="W3" s="487" t="str">
        <f>IF('Elenco immobili'!$C$20="","",'Elenco immobili'!$C$20)</f>
        <v/>
      </c>
      <c r="X3" s="487" t="str">
        <f>IF('Elenco immobili'!$C$21="","",'Elenco immobili'!$C$21)</f>
        <v/>
      </c>
      <c r="Y3" s="487" t="str">
        <f>IF('Elenco immobili'!$C$22="","",'Elenco immobili'!$C$22)</f>
        <v/>
      </c>
      <c r="Z3" s="487" t="str">
        <f>IF('Elenco immobili'!$C$23="","",'Elenco immobili'!$C$23)</f>
        <v/>
      </c>
    </row>
    <row r="4" spans="1:57" ht="13.5" thickBot="1" x14ac:dyDescent="0.25">
      <c r="B4" s="105" t="s">
        <v>1146</v>
      </c>
      <c r="F4" s="125" t="s">
        <v>328</v>
      </c>
      <c r="G4" s="574">
        <v>46</v>
      </c>
      <c r="H4" s="574"/>
      <c r="I4" s="574"/>
      <c r="J4" s="574"/>
      <c r="K4" s="574"/>
      <c r="L4" s="574"/>
      <c r="M4" s="574"/>
      <c r="N4" s="574"/>
      <c r="O4" s="574"/>
      <c r="P4" s="574"/>
      <c r="Q4" s="574"/>
      <c r="R4" s="574"/>
      <c r="S4" s="574"/>
      <c r="T4" s="574"/>
      <c r="U4" s="574"/>
      <c r="V4" s="574"/>
      <c r="W4" s="574"/>
      <c r="X4" s="574"/>
      <c r="Y4" s="574"/>
      <c r="Z4" s="574"/>
    </row>
    <row r="5" spans="1:57" ht="3" customHeight="1" thickBot="1" x14ac:dyDescent="0.25">
      <c r="G5" s="102"/>
      <c r="H5" s="102"/>
      <c r="I5" s="102"/>
      <c r="J5" s="102"/>
      <c r="K5" s="102"/>
      <c r="L5" s="102"/>
      <c r="M5" s="102"/>
      <c r="N5" s="102"/>
      <c r="O5" s="102"/>
      <c r="P5" s="102"/>
      <c r="Q5" s="102"/>
      <c r="R5" s="102"/>
      <c r="S5" s="102"/>
      <c r="T5" s="102"/>
      <c r="U5" s="102"/>
      <c r="V5" s="102"/>
      <c r="W5" s="102"/>
      <c r="X5" s="102"/>
      <c r="Y5" s="102"/>
      <c r="Z5" s="102"/>
    </row>
    <row r="6" spans="1:57" s="99" customFormat="1" ht="57" thickBot="1" x14ac:dyDescent="0.25">
      <c r="A6" s="101"/>
      <c r="B6" s="121" t="s">
        <v>771</v>
      </c>
      <c r="C6" s="122" t="s">
        <v>251</v>
      </c>
      <c r="D6" s="123" t="s">
        <v>252</v>
      </c>
      <c r="E6" s="123" t="s">
        <v>253</v>
      </c>
      <c r="F6" s="123" t="s">
        <v>1174</v>
      </c>
      <c r="G6" s="588" t="s">
        <v>307</v>
      </c>
      <c r="H6" s="588" t="s">
        <v>307</v>
      </c>
      <c r="I6" s="588" t="s">
        <v>307</v>
      </c>
      <c r="J6" s="588" t="s">
        <v>307</v>
      </c>
      <c r="K6" s="588" t="s">
        <v>307</v>
      </c>
      <c r="L6" s="588" t="s">
        <v>307</v>
      </c>
      <c r="M6" s="588" t="s">
        <v>307</v>
      </c>
      <c r="N6" s="588" t="s">
        <v>307</v>
      </c>
      <c r="O6" s="588" t="s">
        <v>307</v>
      </c>
      <c r="P6" s="588" t="s">
        <v>307</v>
      </c>
      <c r="Q6" s="588" t="s">
        <v>307</v>
      </c>
      <c r="R6" s="588" t="s">
        <v>307</v>
      </c>
      <c r="S6" s="588" t="s">
        <v>307</v>
      </c>
      <c r="T6" s="588" t="s">
        <v>307</v>
      </c>
      <c r="U6" s="588" t="s">
        <v>307</v>
      </c>
      <c r="V6" s="588" t="s">
        <v>307</v>
      </c>
      <c r="W6" s="588" t="s">
        <v>307</v>
      </c>
      <c r="X6" s="588" t="s">
        <v>307</v>
      </c>
      <c r="Y6" s="588" t="s">
        <v>307</v>
      </c>
      <c r="Z6" s="588" t="s">
        <v>307</v>
      </c>
      <c r="AA6" s="127" t="s">
        <v>1171</v>
      </c>
      <c r="AB6" s="128" t="s">
        <v>51</v>
      </c>
      <c r="AC6" s="128" t="s">
        <v>143</v>
      </c>
      <c r="AD6" s="128" t="s">
        <v>1172</v>
      </c>
      <c r="AE6" s="128" t="s">
        <v>160</v>
      </c>
      <c r="AF6" s="128" t="s">
        <v>1173</v>
      </c>
      <c r="AG6" s="98"/>
      <c r="AH6" s="98"/>
      <c r="AI6" s="98"/>
      <c r="AJ6" s="98"/>
      <c r="AK6" s="98"/>
      <c r="AL6" s="98"/>
      <c r="AM6" s="98"/>
      <c r="AN6" s="98"/>
      <c r="AO6" s="98"/>
      <c r="AP6" s="98"/>
      <c r="AQ6" s="98"/>
      <c r="AR6" s="98"/>
      <c r="AS6" s="98"/>
      <c r="AT6" s="98"/>
      <c r="AU6" s="98"/>
      <c r="AV6" s="98"/>
      <c r="AW6" s="98"/>
      <c r="AX6" s="98"/>
      <c r="AY6" s="98"/>
      <c r="AZ6" s="98"/>
      <c r="BA6" s="98"/>
      <c r="BB6" s="98"/>
      <c r="BC6" s="98"/>
      <c r="BD6" s="98"/>
      <c r="BE6" s="96"/>
    </row>
    <row r="7" spans="1:57" ht="124.5" thickBot="1" x14ac:dyDescent="0.25">
      <c r="A7" s="575"/>
      <c r="B7" s="540" t="s">
        <v>1147</v>
      </c>
      <c r="C7" s="542" t="s">
        <v>1149</v>
      </c>
      <c r="D7" s="342" t="s">
        <v>1151</v>
      </c>
      <c r="E7" s="542" t="s">
        <v>1152</v>
      </c>
      <c r="F7" s="303" t="s">
        <v>1206</v>
      </c>
      <c r="G7" s="849">
        <v>26290</v>
      </c>
      <c r="H7" s="454"/>
      <c r="I7" s="454"/>
      <c r="J7" s="454"/>
      <c r="K7" s="454"/>
      <c r="L7" s="454"/>
      <c r="M7" s="454"/>
      <c r="N7" s="454"/>
      <c r="O7" s="454"/>
      <c r="P7" s="454"/>
      <c r="Q7" s="454"/>
      <c r="R7" s="454"/>
      <c r="S7" s="454"/>
      <c r="T7" s="454"/>
      <c r="U7" s="454"/>
      <c r="V7" s="454"/>
      <c r="W7" s="454"/>
      <c r="X7" s="454"/>
      <c r="Y7" s="454"/>
      <c r="Z7" s="454"/>
      <c r="AA7" s="185">
        <v>1.4890000000000001</v>
      </c>
      <c r="AB7" s="625" t="s">
        <v>71</v>
      </c>
      <c r="AC7" s="186">
        <f>'Ribassi PE'!$K$42</f>
        <v>0.37</v>
      </c>
      <c r="AD7" s="187">
        <f t="shared" ref="AD7:AD8" si="0">ROUND(AA7*(1-AC7),3)</f>
        <v>0.93799999999999994</v>
      </c>
      <c r="AE7" s="188">
        <f>'Ribassi PE'!$M$42</f>
        <v>0.59499999999999997</v>
      </c>
      <c r="AF7" s="187">
        <f t="shared" ref="AF7:AF8" si="1">ROUND(AA7*(1-AE7),3)</f>
        <v>0.60299999999999998</v>
      </c>
      <c r="AG7" s="576"/>
      <c r="AH7" s="576"/>
      <c r="AI7" s="576"/>
      <c r="AJ7" s="576"/>
      <c r="AK7" s="576"/>
      <c r="AL7" s="576"/>
      <c r="AM7" s="576"/>
      <c r="AN7" s="576"/>
      <c r="AO7" s="576"/>
      <c r="AP7" s="576"/>
      <c r="AQ7" s="576"/>
      <c r="AR7" s="576"/>
      <c r="AS7" s="576"/>
      <c r="AT7" s="576"/>
      <c r="AU7" s="576"/>
      <c r="AV7" s="576"/>
      <c r="AW7" s="576"/>
      <c r="AX7" s="576"/>
      <c r="AY7" s="576"/>
      <c r="AZ7" s="576"/>
      <c r="BA7" s="576"/>
      <c r="BB7" s="576"/>
      <c r="BC7" s="576"/>
      <c r="BD7" s="576"/>
      <c r="BE7" s="577"/>
    </row>
    <row r="8" spans="1:57" ht="57" thickBot="1" x14ac:dyDescent="0.25">
      <c r="A8" s="578"/>
      <c r="B8" s="548" t="s">
        <v>1148</v>
      </c>
      <c r="C8" s="544" t="s">
        <v>1150</v>
      </c>
      <c r="D8" s="343" t="s">
        <v>1153</v>
      </c>
      <c r="E8" s="544" t="s">
        <v>1154</v>
      </c>
      <c r="F8" s="301" t="s">
        <v>1207</v>
      </c>
      <c r="G8" s="851">
        <v>4000</v>
      </c>
      <c r="H8" s="456"/>
      <c r="I8" s="456"/>
      <c r="J8" s="456"/>
      <c r="K8" s="456"/>
      <c r="L8" s="456"/>
      <c r="M8" s="456"/>
      <c r="N8" s="456"/>
      <c r="O8" s="456"/>
      <c r="P8" s="456"/>
      <c r="Q8" s="456"/>
      <c r="R8" s="456"/>
      <c r="S8" s="456"/>
      <c r="T8" s="456"/>
      <c r="U8" s="456"/>
      <c r="V8" s="456"/>
      <c r="W8" s="456"/>
      <c r="X8" s="456"/>
      <c r="Y8" s="456"/>
      <c r="Z8" s="456"/>
      <c r="AA8" s="198">
        <v>0.38500000000000001</v>
      </c>
      <c r="AB8" s="630" t="s">
        <v>71</v>
      </c>
      <c r="AC8" s="199">
        <f>'Ribassi PE'!$K$42</f>
        <v>0.37</v>
      </c>
      <c r="AD8" s="200">
        <f t="shared" si="0"/>
        <v>0.24299999999999999</v>
      </c>
      <c r="AE8" s="199">
        <f>'Ribassi PE'!$M$42</f>
        <v>0.59499999999999997</v>
      </c>
      <c r="AF8" s="200">
        <f t="shared" si="1"/>
        <v>0.156</v>
      </c>
      <c r="AG8" s="576"/>
      <c r="AH8" s="576"/>
      <c r="AI8" s="576"/>
      <c r="AJ8" s="576"/>
      <c r="AK8" s="576"/>
      <c r="AL8" s="576"/>
      <c r="AM8" s="576"/>
      <c r="AN8" s="576"/>
      <c r="AO8" s="576"/>
      <c r="AP8" s="576"/>
      <c r="AQ8" s="576"/>
      <c r="AR8" s="576"/>
      <c r="AS8" s="576"/>
      <c r="AT8" s="576"/>
      <c r="AU8" s="576"/>
      <c r="AV8" s="576"/>
      <c r="AW8" s="576"/>
      <c r="AX8" s="576"/>
      <c r="AY8" s="576"/>
      <c r="AZ8" s="576"/>
      <c r="BA8" s="576"/>
      <c r="BB8" s="576"/>
      <c r="BC8" s="576"/>
      <c r="BD8" s="576"/>
      <c r="BE8" s="577"/>
    </row>
    <row r="9" spans="1:57" s="99" customFormat="1" ht="12.75" thickBot="1" x14ac:dyDescent="0.25">
      <c r="A9" s="98"/>
      <c r="B9" s="98"/>
      <c r="C9" s="98"/>
      <c r="D9" s="106"/>
      <c r="E9" s="106"/>
      <c r="F9" s="125" t="s">
        <v>329</v>
      </c>
      <c r="G9" s="126">
        <f>SUMPRODUCT(G7:G8,$AA$7:$AA$8)*G$4/12</f>
        <v>155962.2716666667</v>
      </c>
      <c r="H9" s="126">
        <f t="shared" ref="H9:Z9" si="2">SUMPRODUCT(H7:H8,$AA$7:$AA$8)*H$4/12</f>
        <v>0</v>
      </c>
      <c r="I9" s="126">
        <f t="shared" si="2"/>
        <v>0</v>
      </c>
      <c r="J9" s="126">
        <f t="shared" si="2"/>
        <v>0</v>
      </c>
      <c r="K9" s="126">
        <f t="shared" si="2"/>
        <v>0</v>
      </c>
      <c r="L9" s="126">
        <f t="shared" si="2"/>
        <v>0</v>
      </c>
      <c r="M9" s="126">
        <f t="shared" si="2"/>
        <v>0</v>
      </c>
      <c r="N9" s="126">
        <f t="shared" si="2"/>
        <v>0</v>
      </c>
      <c r="O9" s="126">
        <f t="shared" si="2"/>
        <v>0</v>
      </c>
      <c r="P9" s="126">
        <f t="shared" si="2"/>
        <v>0</v>
      </c>
      <c r="Q9" s="126">
        <f t="shared" si="2"/>
        <v>0</v>
      </c>
      <c r="R9" s="126">
        <f t="shared" si="2"/>
        <v>0</v>
      </c>
      <c r="S9" s="126">
        <f t="shared" si="2"/>
        <v>0</v>
      </c>
      <c r="T9" s="126">
        <f t="shared" si="2"/>
        <v>0</v>
      </c>
      <c r="U9" s="126">
        <f t="shared" si="2"/>
        <v>0</v>
      </c>
      <c r="V9" s="126">
        <f t="shared" si="2"/>
        <v>0</v>
      </c>
      <c r="W9" s="126">
        <f t="shared" si="2"/>
        <v>0</v>
      </c>
      <c r="X9" s="126">
        <f t="shared" si="2"/>
        <v>0</v>
      </c>
      <c r="Y9" s="126">
        <f t="shared" si="2"/>
        <v>0</v>
      </c>
      <c r="Z9" s="126">
        <f t="shared" si="2"/>
        <v>0</v>
      </c>
      <c r="AA9" s="97"/>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6"/>
    </row>
    <row r="10" spans="1:57" s="99" customFormat="1" ht="12.75" thickBot="1" x14ac:dyDescent="0.25">
      <c r="A10" s="98"/>
      <c r="B10" s="98"/>
      <c r="C10" s="98"/>
      <c r="D10" s="106"/>
      <c r="E10" s="106"/>
      <c r="F10" s="581" t="s">
        <v>330</v>
      </c>
      <c r="G10" s="201">
        <f>SUMPRODUCT(G7:G8,$AD$7:$AD$8)*G$4/12</f>
        <v>98256.07666666666</v>
      </c>
      <c r="H10" s="201">
        <f t="shared" ref="H10:Z10" si="3">SUMPRODUCT(H7:H8,$AD$7:$AD$8)*H$4/12</f>
        <v>0</v>
      </c>
      <c r="I10" s="201">
        <f t="shared" si="3"/>
        <v>0</v>
      </c>
      <c r="J10" s="201">
        <f t="shared" si="3"/>
        <v>0</v>
      </c>
      <c r="K10" s="201">
        <f t="shared" si="3"/>
        <v>0</v>
      </c>
      <c r="L10" s="201">
        <f t="shared" si="3"/>
        <v>0</v>
      </c>
      <c r="M10" s="201">
        <f t="shared" si="3"/>
        <v>0</v>
      </c>
      <c r="N10" s="201">
        <f t="shared" si="3"/>
        <v>0</v>
      </c>
      <c r="O10" s="201">
        <f t="shared" si="3"/>
        <v>0</v>
      </c>
      <c r="P10" s="201">
        <f t="shared" si="3"/>
        <v>0</v>
      </c>
      <c r="Q10" s="201">
        <f t="shared" si="3"/>
        <v>0</v>
      </c>
      <c r="R10" s="201">
        <f t="shared" si="3"/>
        <v>0</v>
      </c>
      <c r="S10" s="201">
        <f t="shared" si="3"/>
        <v>0</v>
      </c>
      <c r="T10" s="201">
        <f t="shared" si="3"/>
        <v>0</v>
      </c>
      <c r="U10" s="201">
        <f t="shared" si="3"/>
        <v>0</v>
      </c>
      <c r="V10" s="201">
        <f t="shared" si="3"/>
        <v>0</v>
      </c>
      <c r="W10" s="201">
        <f t="shared" si="3"/>
        <v>0</v>
      </c>
      <c r="X10" s="201">
        <f t="shared" si="3"/>
        <v>0</v>
      </c>
      <c r="Y10" s="201">
        <f t="shared" si="3"/>
        <v>0</v>
      </c>
      <c r="Z10" s="202">
        <f t="shared" si="3"/>
        <v>0</v>
      </c>
      <c r="AA10" s="97"/>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6"/>
    </row>
    <row r="11" spans="1:57" s="99" customFormat="1" ht="12.75" thickBot="1" x14ac:dyDescent="0.25">
      <c r="A11" s="98"/>
      <c r="B11" s="98"/>
      <c r="C11" s="98"/>
      <c r="D11" s="106"/>
      <c r="E11" s="106"/>
      <c r="F11" s="581" t="s">
        <v>331</v>
      </c>
      <c r="G11" s="201">
        <f>SUMPRODUCT(G7:G8,$AF$7:$AF$8)*G$4/12</f>
        <v>63161.334999999992</v>
      </c>
      <c r="H11" s="201">
        <f t="shared" ref="H11:Z11" si="4">SUMPRODUCT(H7:H8,$AF$7:$AF$8)*H$4/12</f>
        <v>0</v>
      </c>
      <c r="I11" s="201">
        <f t="shared" si="4"/>
        <v>0</v>
      </c>
      <c r="J11" s="201">
        <f t="shared" si="4"/>
        <v>0</v>
      </c>
      <c r="K11" s="201">
        <f t="shared" si="4"/>
        <v>0</v>
      </c>
      <c r="L11" s="201">
        <f t="shared" si="4"/>
        <v>0</v>
      </c>
      <c r="M11" s="201">
        <f t="shared" si="4"/>
        <v>0</v>
      </c>
      <c r="N11" s="201">
        <f t="shared" si="4"/>
        <v>0</v>
      </c>
      <c r="O11" s="201">
        <f t="shared" si="4"/>
        <v>0</v>
      </c>
      <c r="P11" s="201">
        <f t="shared" si="4"/>
        <v>0</v>
      </c>
      <c r="Q11" s="201">
        <f t="shared" si="4"/>
        <v>0</v>
      </c>
      <c r="R11" s="201">
        <f t="shared" si="4"/>
        <v>0</v>
      </c>
      <c r="S11" s="201">
        <f t="shared" si="4"/>
        <v>0</v>
      </c>
      <c r="T11" s="201">
        <f t="shared" si="4"/>
        <v>0</v>
      </c>
      <c r="U11" s="201">
        <f t="shared" si="4"/>
        <v>0</v>
      </c>
      <c r="V11" s="201">
        <f t="shared" si="4"/>
        <v>0</v>
      </c>
      <c r="W11" s="201">
        <f t="shared" si="4"/>
        <v>0</v>
      </c>
      <c r="X11" s="201">
        <f t="shared" si="4"/>
        <v>0</v>
      </c>
      <c r="Y11" s="201">
        <f t="shared" si="4"/>
        <v>0</v>
      </c>
      <c r="Z11" s="202">
        <f t="shared" si="4"/>
        <v>0</v>
      </c>
      <c r="AA11" s="97"/>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6"/>
    </row>
    <row r="12" spans="1:57" x14ac:dyDescent="0.2">
      <c r="A12" s="576"/>
      <c r="B12" s="98"/>
      <c r="C12" s="98"/>
      <c r="D12" s="98"/>
      <c r="E12" s="98"/>
      <c r="F12" s="98"/>
      <c r="G12" s="576"/>
      <c r="H12" s="576"/>
      <c r="I12" s="576"/>
      <c r="J12" s="576"/>
      <c r="K12" s="576"/>
      <c r="L12" s="576"/>
      <c r="M12" s="576"/>
      <c r="N12" s="576"/>
      <c r="O12" s="576"/>
      <c r="P12" s="576"/>
      <c r="Q12" s="576"/>
      <c r="R12" s="576"/>
      <c r="S12" s="576"/>
      <c r="T12" s="576"/>
      <c r="U12" s="576"/>
      <c r="V12" s="576"/>
      <c r="W12" s="576"/>
      <c r="X12" s="576"/>
      <c r="Y12" s="576"/>
      <c r="Z12" s="576"/>
      <c r="AA12" s="98"/>
      <c r="AB12" s="98"/>
      <c r="AC12" s="98"/>
      <c r="AD12" s="98"/>
      <c r="AE12" s="98"/>
      <c r="AF12" s="98"/>
      <c r="AG12" s="576"/>
      <c r="AH12" s="576"/>
      <c r="AI12" s="576"/>
      <c r="AJ12" s="576"/>
      <c r="AK12" s="576"/>
      <c r="AL12" s="576"/>
      <c r="AM12" s="576"/>
      <c r="AN12" s="576"/>
      <c r="AO12" s="576"/>
      <c r="AP12" s="576"/>
      <c r="AQ12" s="576"/>
      <c r="AR12" s="576"/>
      <c r="AS12" s="576"/>
      <c r="AT12" s="576"/>
      <c r="AU12" s="576"/>
      <c r="AV12" s="576"/>
      <c r="AW12" s="576"/>
      <c r="AX12" s="576"/>
      <c r="AY12" s="576"/>
      <c r="AZ12" s="576"/>
      <c r="BA12" s="576"/>
      <c r="BB12" s="576"/>
      <c r="BC12" s="576"/>
      <c r="BD12" s="576"/>
      <c r="BE12" s="577"/>
    </row>
    <row r="13" spans="1:57" x14ac:dyDescent="0.2">
      <c r="A13" s="576"/>
      <c r="B13" s="98"/>
      <c r="C13" s="98"/>
      <c r="D13" s="98"/>
      <c r="E13" s="98"/>
      <c r="F13" s="98"/>
      <c r="G13" s="576"/>
      <c r="H13" s="576"/>
      <c r="I13" s="576"/>
      <c r="J13" s="576"/>
      <c r="K13" s="576"/>
      <c r="L13" s="576"/>
      <c r="M13" s="576"/>
      <c r="N13" s="576"/>
      <c r="O13" s="576"/>
      <c r="P13" s="576"/>
      <c r="Q13" s="576"/>
      <c r="R13" s="576"/>
      <c r="S13" s="576"/>
      <c r="T13" s="576"/>
      <c r="U13" s="576"/>
      <c r="V13" s="576"/>
      <c r="W13" s="576"/>
      <c r="X13" s="576"/>
      <c r="Y13" s="576"/>
      <c r="Z13" s="576"/>
      <c r="AA13" s="98"/>
      <c r="AB13" s="98"/>
      <c r="AC13" s="98"/>
      <c r="AD13" s="98"/>
      <c r="AE13" s="98"/>
      <c r="AF13" s="98"/>
      <c r="AG13" s="576"/>
      <c r="AH13" s="576"/>
      <c r="AI13" s="576"/>
      <c r="AJ13" s="576"/>
      <c r="AK13" s="576"/>
      <c r="AL13" s="576"/>
      <c r="AM13" s="576"/>
      <c r="AN13" s="576"/>
      <c r="AO13" s="576"/>
      <c r="AP13" s="576"/>
      <c r="AQ13" s="576"/>
      <c r="AR13" s="576"/>
      <c r="AS13" s="576"/>
      <c r="AT13" s="576"/>
      <c r="AU13" s="576"/>
      <c r="AV13" s="576"/>
      <c r="AW13" s="576"/>
      <c r="AX13" s="576"/>
      <c r="AY13" s="576"/>
      <c r="AZ13" s="576"/>
      <c r="BA13" s="576"/>
      <c r="BB13" s="576"/>
      <c r="BC13" s="576"/>
      <c r="BD13" s="576"/>
      <c r="BE13" s="577"/>
    </row>
    <row r="14" spans="1:57" x14ac:dyDescent="0.2">
      <c r="A14" s="576"/>
      <c r="B14" s="98"/>
      <c r="C14" s="98"/>
      <c r="D14" s="98"/>
      <c r="E14" s="98"/>
      <c r="F14" s="98"/>
      <c r="G14" s="576"/>
      <c r="H14" s="576"/>
      <c r="I14" s="576"/>
      <c r="J14" s="576"/>
      <c r="K14" s="576"/>
      <c r="L14" s="576"/>
      <c r="M14" s="576"/>
      <c r="N14" s="576"/>
      <c r="O14" s="576"/>
      <c r="P14" s="576"/>
      <c r="Q14" s="576"/>
      <c r="R14" s="576"/>
      <c r="S14" s="576"/>
      <c r="T14" s="576"/>
      <c r="U14" s="576"/>
      <c r="V14" s="576"/>
      <c r="W14" s="576"/>
      <c r="X14" s="576"/>
      <c r="Y14" s="576"/>
      <c r="Z14" s="576"/>
      <c r="AA14" s="98"/>
      <c r="AB14" s="98"/>
      <c r="AC14" s="98"/>
      <c r="AD14" s="98"/>
      <c r="AE14" s="98"/>
      <c r="AF14" s="98"/>
      <c r="AG14" s="576"/>
      <c r="AH14" s="576"/>
      <c r="AI14" s="576"/>
      <c r="AJ14" s="576"/>
      <c r="AK14" s="576"/>
      <c r="AL14" s="576"/>
      <c r="AM14" s="576"/>
      <c r="AN14" s="576"/>
      <c r="AO14" s="576"/>
      <c r="AP14" s="576"/>
      <c r="AQ14" s="576"/>
      <c r="AR14" s="576"/>
      <c r="AS14" s="576"/>
      <c r="AT14" s="576"/>
      <c r="AU14" s="576"/>
      <c r="AV14" s="576"/>
      <c r="AW14" s="576"/>
      <c r="AX14" s="576"/>
      <c r="AY14" s="576"/>
      <c r="AZ14" s="576"/>
      <c r="BA14" s="576"/>
      <c r="BB14" s="576"/>
      <c r="BC14" s="576"/>
      <c r="BD14" s="576"/>
      <c r="BE14" s="577"/>
    </row>
    <row r="15" spans="1:57" x14ac:dyDescent="0.2">
      <c r="A15" s="576"/>
      <c r="B15" s="98"/>
      <c r="C15" s="98"/>
      <c r="D15" s="98"/>
      <c r="E15" s="98"/>
      <c r="F15" s="98"/>
      <c r="G15" s="576"/>
      <c r="H15" s="576"/>
      <c r="I15" s="576"/>
      <c r="J15" s="576"/>
      <c r="K15" s="576"/>
      <c r="L15" s="576"/>
      <c r="M15" s="576"/>
      <c r="N15" s="576"/>
      <c r="O15" s="576"/>
      <c r="P15" s="576"/>
      <c r="Q15" s="576"/>
      <c r="R15" s="576"/>
      <c r="S15" s="576"/>
      <c r="T15" s="576"/>
      <c r="U15" s="576"/>
      <c r="V15" s="576"/>
      <c r="W15" s="576"/>
      <c r="X15" s="576"/>
      <c r="Y15" s="576"/>
      <c r="Z15" s="576"/>
      <c r="AA15" s="98"/>
      <c r="AB15" s="98"/>
      <c r="AC15" s="98"/>
      <c r="AD15" s="98"/>
      <c r="AE15" s="98"/>
      <c r="AF15" s="98"/>
      <c r="AG15" s="576"/>
      <c r="AH15" s="576"/>
      <c r="AI15" s="576"/>
      <c r="AJ15" s="576"/>
      <c r="AK15" s="576"/>
      <c r="AL15" s="576"/>
      <c r="AM15" s="576"/>
      <c r="AN15" s="576"/>
      <c r="AO15" s="576"/>
      <c r="AP15" s="576"/>
      <c r="AQ15" s="576"/>
      <c r="AR15" s="576"/>
      <c r="AS15" s="576"/>
      <c r="AT15" s="576"/>
      <c r="AU15" s="576"/>
      <c r="AV15" s="576"/>
      <c r="AW15" s="576"/>
      <c r="AX15" s="576"/>
      <c r="AY15" s="576"/>
      <c r="AZ15" s="576"/>
      <c r="BA15" s="576"/>
      <c r="BB15" s="576"/>
      <c r="BC15" s="576"/>
      <c r="BD15" s="576"/>
      <c r="BE15" s="577"/>
    </row>
    <row r="16" spans="1:57" x14ac:dyDescent="0.2">
      <c r="A16" s="576"/>
      <c r="B16" s="98"/>
      <c r="C16" s="98"/>
      <c r="D16" s="98"/>
      <c r="E16" s="98"/>
      <c r="F16" s="98"/>
      <c r="G16" s="576"/>
      <c r="H16" s="576"/>
      <c r="I16" s="576"/>
      <c r="J16" s="576"/>
      <c r="K16" s="576"/>
      <c r="L16" s="576"/>
      <c r="M16" s="576"/>
      <c r="N16" s="576"/>
      <c r="O16" s="576"/>
      <c r="P16" s="576"/>
      <c r="Q16" s="576"/>
      <c r="R16" s="576"/>
      <c r="S16" s="576"/>
      <c r="T16" s="576"/>
      <c r="U16" s="576"/>
      <c r="V16" s="576"/>
      <c r="W16" s="576"/>
      <c r="X16" s="576"/>
      <c r="Y16" s="576"/>
      <c r="Z16" s="576"/>
      <c r="AA16" s="98"/>
      <c r="AB16" s="98"/>
      <c r="AC16" s="98"/>
      <c r="AD16" s="98"/>
      <c r="AE16" s="98"/>
      <c r="AF16" s="98"/>
      <c r="AG16" s="576"/>
      <c r="AH16" s="576"/>
      <c r="AI16" s="576"/>
      <c r="AJ16" s="576"/>
      <c r="AK16" s="576"/>
      <c r="AL16" s="576"/>
      <c r="AM16" s="576"/>
      <c r="AN16" s="576"/>
      <c r="AO16" s="576"/>
      <c r="AP16" s="576"/>
      <c r="AQ16" s="576"/>
      <c r="AR16" s="576"/>
      <c r="AS16" s="576"/>
      <c r="AT16" s="576"/>
      <c r="AU16" s="576"/>
      <c r="AV16" s="576"/>
      <c r="AW16" s="576"/>
      <c r="AX16" s="576"/>
      <c r="AY16" s="576"/>
      <c r="AZ16" s="576"/>
      <c r="BA16" s="576"/>
      <c r="BB16" s="576"/>
      <c r="BC16" s="576"/>
      <c r="BD16" s="576"/>
      <c r="BE16" s="577"/>
    </row>
    <row r="17" spans="1:57" x14ac:dyDescent="0.2">
      <c r="A17" s="576"/>
      <c r="B17" s="98"/>
      <c r="C17" s="98"/>
      <c r="D17" s="98"/>
      <c r="E17" s="98"/>
      <c r="F17" s="98"/>
      <c r="G17" s="576"/>
      <c r="H17" s="576"/>
      <c r="I17" s="576"/>
      <c r="J17" s="576"/>
      <c r="K17" s="576"/>
      <c r="L17" s="576"/>
      <c r="M17" s="576"/>
      <c r="N17" s="576"/>
      <c r="O17" s="576"/>
      <c r="P17" s="576"/>
      <c r="Q17" s="576"/>
      <c r="R17" s="576"/>
      <c r="S17" s="576"/>
      <c r="T17" s="576"/>
      <c r="U17" s="576"/>
      <c r="V17" s="576"/>
      <c r="W17" s="576"/>
      <c r="X17" s="576"/>
      <c r="Y17" s="576"/>
      <c r="Z17" s="576"/>
      <c r="AA17" s="98"/>
      <c r="AB17" s="98"/>
      <c r="AC17" s="98"/>
      <c r="AD17" s="98"/>
      <c r="AE17" s="98"/>
      <c r="AF17" s="98"/>
      <c r="AG17" s="576"/>
      <c r="AH17" s="576"/>
      <c r="AI17" s="576"/>
      <c r="AJ17" s="576"/>
      <c r="AK17" s="576"/>
      <c r="AL17" s="576"/>
      <c r="AM17" s="576"/>
      <c r="AN17" s="576"/>
      <c r="AO17" s="576"/>
      <c r="AP17" s="576"/>
      <c r="AQ17" s="576"/>
      <c r="AR17" s="576"/>
      <c r="AS17" s="576"/>
      <c r="AT17" s="576"/>
      <c r="AU17" s="576"/>
      <c r="AV17" s="576"/>
      <c r="AW17" s="576"/>
      <c r="AX17" s="576"/>
      <c r="AY17" s="576"/>
      <c r="AZ17" s="576"/>
      <c r="BA17" s="576"/>
      <c r="BB17" s="576"/>
      <c r="BC17" s="576"/>
      <c r="BD17" s="576"/>
      <c r="BE17" s="577"/>
    </row>
    <row r="18" spans="1:57" x14ac:dyDescent="0.2">
      <c r="A18" s="576"/>
      <c r="B18" s="98"/>
      <c r="C18" s="98"/>
      <c r="D18" s="98"/>
      <c r="E18" s="98"/>
      <c r="F18" s="98"/>
      <c r="G18" s="576"/>
      <c r="H18" s="576"/>
      <c r="I18" s="576"/>
      <c r="J18" s="576"/>
      <c r="K18" s="576"/>
      <c r="L18" s="576"/>
      <c r="M18" s="576"/>
      <c r="N18" s="576"/>
      <c r="O18" s="576"/>
      <c r="P18" s="576"/>
      <c r="Q18" s="576"/>
      <c r="R18" s="576"/>
      <c r="S18" s="576"/>
      <c r="T18" s="576"/>
      <c r="U18" s="576"/>
      <c r="V18" s="576"/>
      <c r="W18" s="576"/>
      <c r="X18" s="576"/>
      <c r="Y18" s="576"/>
      <c r="Z18" s="576"/>
      <c r="AA18" s="98"/>
      <c r="AB18" s="98"/>
      <c r="AC18" s="98"/>
      <c r="AD18" s="98"/>
      <c r="AE18" s="98"/>
      <c r="AF18" s="98"/>
      <c r="AG18" s="576"/>
      <c r="AH18" s="576"/>
      <c r="AI18" s="576"/>
      <c r="AJ18" s="576"/>
      <c r="AK18" s="576"/>
      <c r="AL18" s="576"/>
      <c r="AM18" s="576"/>
      <c r="AN18" s="576"/>
      <c r="AO18" s="576"/>
      <c r="AP18" s="576"/>
      <c r="AQ18" s="576"/>
      <c r="AR18" s="576"/>
      <c r="AS18" s="576"/>
      <c r="AT18" s="576"/>
      <c r="AU18" s="576"/>
      <c r="AV18" s="576"/>
      <c r="AW18" s="576"/>
      <c r="AX18" s="576"/>
      <c r="AY18" s="576"/>
      <c r="AZ18" s="576"/>
      <c r="BA18" s="576"/>
      <c r="BB18" s="576"/>
      <c r="BC18" s="576"/>
      <c r="BD18" s="576"/>
      <c r="BE18" s="577"/>
    </row>
    <row r="19" spans="1:57" x14ac:dyDescent="0.2">
      <c r="A19" s="576"/>
      <c r="B19" s="98"/>
      <c r="C19" s="98"/>
      <c r="D19" s="98"/>
      <c r="E19" s="98"/>
      <c r="F19" s="98"/>
      <c r="G19" s="576"/>
      <c r="H19" s="576"/>
      <c r="I19" s="576"/>
      <c r="J19" s="576"/>
      <c r="K19" s="576"/>
      <c r="L19" s="576"/>
      <c r="M19" s="576"/>
      <c r="N19" s="576"/>
      <c r="O19" s="576"/>
      <c r="P19" s="576"/>
      <c r="Q19" s="576"/>
      <c r="R19" s="576"/>
      <c r="S19" s="576"/>
      <c r="T19" s="576"/>
      <c r="U19" s="576"/>
      <c r="V19" s="576"/>
      <c r="W19" s="576"/>
      <c r="X19" s="576"/>
      <c r="Y19" s="576"/>
      <c r="Z19" s="576"/>
      <c r="AA19" s="98"/>
      <c r="AB19" s="98"/>
      <c r="AC19" s="98"/>
      <c r="AD19" s="98"/>
      <c r="AE19" s="98"/>
      <c r="AF19" s="98"/>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7"/>
    </row>
    <row r="20" spans="1:57" x14ac:dyDescent="0.2">
      <c r="A20" s="576"/>
      <c r="B20" s="98"/>
      <c r="C20" s="98"/>
      <c r="D20" s="98"/>
      <c r="E20" s="98"/>
      <c r="F20" s="98"/>
      <c r="G20" s="576"/>
      <c r="H20" s="576"/>
      <c r="I20" s="576"/>
      <c r="J20" s="576"/>
      <c r="K20" s="576"/>
      <c r="L20" s="576"/>
      <c r="M20" s="576"/>
      <c r="N20" s="576"/>
      <c r="O20" s="576"/>
      <c r="P20" s="576"/>
      <c r="Q20" s="576"/>
      <c r="R20" s="576"/>
      <c r="S20" s="576"/>
      <c r="T20" s="576"/>
      <c r="U20" s="576"/>
      <c r="V20" s="576"/>
      <c r="W20" s="576"/>
      <c r="X20" s="576"/>
      <c r="Y20" s="576"/>
      <c r="Z20" s="576"/>
      <c r="AA20" s="98"/>
      <c r="AB20" s="98"/>
      <c r="AC20" s="98"/>
      <c r="AD20" s="98"/>
      <c r="AE20" s="98"/>
      <c r="AF20" s="98"/>
      <c r="AG20" s="576"/>
      <c r="AH20" s="576"/>
      <c r="AI20" s="576"/>
      <c r="AJ20" s="576"/>
      <c r="AK20" s="576"/>
      <c r="AL20" s="576"/>
      <c r="AM20" s="576"/>
      <c r="AN20" s="576"/>
      <c r="AO20" s="576"/>
      <c r="AP20" s="576"/>
      <c r="AQ20" s="576"/>
      <c r="AR20" s="576"/>
      <c r="AS20" s="576"/>
      <c r="AT20" s="576"/>
      <c r="AU20" s="576"/>
      <c r="AV20" s="576"/>
      <c r="AW20" s="576"/>
      <c r="AX20" s="576"/>
      <c r="AY20" s="576"/>
      <c r="AZ20" s="576"/>
      <c r="BA20" s="576"/>
      <c r="BB20" s="576"/>
      <c r="BC20" s="576"/>
      <c r="BD20" s="576"/>
      <c r="BE20" s="577"/>
    </row>
    <row r="21" spans="1:57" x14ac:dyDescent="0.2">
      <c r="A21" s="576"/>
      <c r="B21" s="98"/>
      <c r="C21" s="98"/>
      <c r="D21" s="98"/>
      <c r="E21" s="98"/>
      <c r="F21" s="98"/>
      <c r="G21" s="576"/>
      <c r="H21" s="576"/>
      <c r="I21" s="576"/>
      <c r="J21" s="576"/>
      <c r="K21" s="576"/>
      <c r="L21" s="576"/>
      <c r="M21" s="576"/>
      <c r="N21" s="576"/>
      <c r="O21" s="576"/>
      <c r="P21" s="576"/>
      <c r="Q21" s="576"/>
      <c r="R21" s="576"/>
      <c r="S21" s="576"/>
      <c r="T21" s="576"/>
      <c r="U21" s="576"/>
      <c r="V21" s="576"/>
      <c r="W21" s="576"/>
      <c r="X21" s="576"/>
      <c r="Y21" s="576"/>
      <c r="Z21" s="576"/>
      <c r="AA21" s="98"/>
      <c r="AB21" s="98"/>
      <c r="AC21" s="98"/>
      <c r="AD21" s="98"/>
      <c r="AE21" s="98"/>
      <c r="AF21" s="98"/>
      <c r="AG21" s="576"/>
      <c r="AH21" s="576"/>
      <c r="AI21" s="576"/>
      <c r="AJ21" s="576"/>
      <c r="AK21" s="576"/>
      <c r="AL21" s="576"/>
      <c r="AM21" s="576"/>
      <c r="AN21" s="576"/>
      <c r="AO21" s="576"/>
      <c r="AP21" s="576"/>
      <c r="AQ21" s="576"/>
      <c r="AR21" s="576"/>
      <c r="AS21" s="576"/>
      <c r="AT21" s="576"/>
      <c r="AU21" s="576"/>
      <c r="AV21" s="576"/>
      <c r="AW21" s="576"/>
      <c r="AX21" s="576"/>
      <c r="AY21" s="576"/>
      <c r="AZ21" s="576"/>
      <c r="BA21" s="576"/>
      <c r="BB21" s="576"/>
      <c r="BC21" s="576"/>
      <c r="BD21" s="576"/>
      <c r="BE21" s="577"/>
    </row>
    <row r="22" spans="1:57" x14ac:dyDescent="0.2">
      <c r="A22" s="576"/>
      <c r="B22" s="98"/>
      <c r="C22" s="98"/>
      <c r="D22" s="98"/>
      <c r="E22" s="98"/>
      <c r="F22" s="98"/>
      <c r="G22" s="576"/>
      <c r="H22" s="576"/>
      <c r="I22" s="576"/>
      <c r="J22" s="576"/>
      <c r="K22" s="576"/>
      <c r="L22" s="576"/>
      <c r="M22" s="576"/>
      <c r="N22" s="576"/>
      <c r="O22" s="576"/>
      <c r="P22" s="576"/>
      <c r="Q22" s="576"/>
      <c r="R22" s="576"/>
      <c r="S22" s="576"/>
      <c r="T22" s="576"/>
      <c r="U22" s="576"/>
      <c r="V22" s="576"/>
      <c r="W22" s="576"/>
      <c r="X22" s="576"/>
      <c r="Y22" s="576"/>
      <c r="Z22" s="576"/>
      <c r="AA22" s="98"/>
      <c r="AB22" s="98"/>
      <c r="AC22" s="98"/>
      <c r="AD22" s="98"/>
      <c r="AE22" s="98"/>
      <c r="AF22" s="98"/>
      <c r="AG22" s="576"/>
      <c r="AH22" s="576"/>
      <c r="AI22" s="576"/>
      <c r="AJ22" s="576"/>
      <c r="AK22" s="576"/>
      <c r="AL22" s="576"/>
      <c r="AM22" s="576"/>
      <c r="AN22" s="576"/>
      <c r="AO22" s="576"/>
      <c r="AP22" s="576"/>
      <c r="AQ22" s="576"/>
      <c r="AR22" s="576"/>
      <c r="AS22" s="576"/>
      <c r="AT22" s="576"/>
      <c r="AU22" s="576"/>
      <c r="AV22" s="576"/>
      <c r="AW22" s="576"/>
      <c r="AX22" s="576"/>
      <c r="AY22" s="576"/>
      <c r="AZ22" s="576"/>
      <c r="BA22" s="576"/>
      <c r="BB22" s="576"/>
      <c r="BC22" s="576"/>
      <c r="BD22" s="576"/>
      <c r="BE22" s="577"/>
    </row>
    <row r="23" spans="1:57" x14ac:dyDescent="0.2">
      <c r="A23" s="576"/>
      <c r="B23" s="98"/>
      <c r="C23" s="98"/>
      <c r="D23" s="98"/>
      <c r="E23" s="98"/>
      <c r="F23" s="98"/>
      <c r="G23" s="576"/>
      <c r="H23" s="576"/>
      <c r="I23" s="576"/>
      <c r="J23" s="576"/>
      <c r="K23" s="576"/>
      <c r="L23" s="576"/>
      <c r="M23" s="576"/>
      <c r="N23" s="576"/>
      <c r="O23" s="576"/>
      <c r="P23" s="576"/>
      <c r="Q23" s="576"/>
      <c r="R23" s="576"/>
      <c r="S23" s="576"/>
      <c r="T23" s="576"/>
      <c r="U23" s="576"/>
      <c r="V23" s="576"/>
      <c r="W23" s="576"/>
      <c r="X23" s="576"/>
      <c r="Y23" s="576"/>
      <c r="Z23" s="576"/>
      <c r="AA23" s="98"/>
      <c r="AB23" s="98"/>
      <c r="AC23" s="98"/>
      <c r="AD23" s="98"/>
      <c r="AE23" s="98"/>
      <c r="AF23" s="98"/>
      <c r="AG23" s="576"/>
      <c r="AH23" s="576"/>
      <c r="AI23" s="576"/>
      <c r="AJ23" s="576"/>
      <c r="AK23" s="576"/>
      <c r="AL23" s="576"/>
      <c r="AM23" s="576"/>
      <c r="AN23" s="576"/>
      <c r="AO23" s="576"/>
      <c r="AP23" s="576"/>
      <c r="AQ23" s="576"/>
      <c r="AR23" s="576"/>
      <c r="AS23" s="576"/>
      <c r="AT23" s="576"/>
      <c r="AU23" s="576"/>
      <c r="AV23" s="576"/>
      <c r="AW23" s="576"/>
      <c r="AX23" s="576"/>
      <c r="AY23" s="576"/>
      <c r="AZ23" s="576"/>
      <c r="BA23" s="576"/>
      <c r="BB23" s="576"/>
      <c r="BC23" s="576"/>
      <c r="BD23" s="576"/>
      <c r="BE23" s="577"/>
    </row>
    <row r="24" spans="1:57" x14ac:dyDescent="0.2">
      <c r="A24" s="576"/>
      <c r="B24" s="98"/>
      <c r="C24" s="98"/>
      <c r="D24" s="98"/>
      <c r="E24" s="98"/>
      <c r="F24" s="98"/>
      <c r="G24" s="576"/>
      <c r="H24" s="576"/>
      <c r="I24" s="576"/>
      <c r="J24" s="576"/>
      <c r="K24" s="576"/>
      <c r="L24" s="576"/>
      <c r="M24" s="576"/>
      <c r="N24" s="576"/>
      <c r="O24" s="576"/>
      <c r="P24" s="576"/>
      <c r="Q24" s="576"/>
      <c r="R24" s="576"/>
      <c r="S24" s="576"/>
      <c r="T24" s="576"/>
      <c r="U24" s="576"/>
      <c r="V24" s="576"/>
      <c r="W24" s="576"/>
      <c r="X24" s="576"/>
      <c r="Y24" s="576"/>
      <c r="Z24" s="576"/>
      <c r="AA24" s="98"/>
      <c r="AB24" s="98"/>
      <c r="AC24" s="98"/>
      <c r="AD24" s="98"/>
      <c r="AE24" s="98"/>
      <c r="AF24" s="98"/>
      <c r="AG24" s="576"/>
      <c r="AH24" s="576"/>
      <c r="AI24" s="576"/>
      <c r="AJ24" s="576"/>
      <c r="AK24" s="576"/>
      <c r="AL24" s="576"/>
      <c r="AM24" s="576"/>
      <c r="AN24" s="576"/>
      <c r="AO24" s="576"/>
      <c r="AP24" s="576"/>
      <c r="AQ24" s="576"/>
      <c r="AR24" s="576"/>
      <c r="AS24" s="576"/>
      <c r="AT24" s="576"/>
      <c r="AU24" s="576"/>
      <c r="AV24" s="576"/>
      <c r="AW24" s="576"/>
      <c r="AX24" s="576"/>
      <c r="AY24" s="576"/>
      <c r="AZ24" s="576"/>
      <c r="BA24" s="576"/>
      <c r="BB24" s="576"/>
      <c r="BC24" s="576"/>
      <c r="BD24" s="576"/>
      <c r="BE24" s="577"/>
    </row>
    <row r="25" spans="1:57" x14ac:dyDescent="0.2">
      <c r="A25" s="576"/>
      <c r="B25" s="98"/>
      <c r="C25" s="98"/>
      <c r="D25" s="98"/>
      <c r="E25" s="98"/>
      <c r="F25" s="98"/>
      <c r="G25" s="576"/>
      <c r="H25" s="576"/>
      <c r="I25" s="576"/>
      <c r="J25" s="576"/>
      <c r="K25" s="576"/>
      <c r="L25" s="576"/>
      <c r="M25" s="576"/>
      <c r="N25" s="576"/>
      <c r="O25" s="576"/>
      <c r="P25" s="576"/>
      <c r="Q25" s="576"/>
      <c r="R25" s="576"/>
      <c r="S25" s="576"/>
      <c r="T25" s="576"/>
      <c r="U25" s="576"/>
      <c r="V25" s="576"/>
      <c r="W25" s="576"/>
      <c r="X25" s="576"/>
      <c r="Y25" s="576"/>
      <c r="Z25" s="576"/>
      <c r="AA25" s="98"/>
      <c r="AB25" s="98"/>
      <c r="AC25" s="98"/>
      <c r="AD25" s="98"/>
      <c r="AE25" s="98"/>
      <c r="AF25" s="98"/>
      <c r="AG25" s="576"/>
      <c r="AH25" s="576"/>
      <c r="AI25" s="576"/>
      <c r="AJ25" s="576"/>
      <c r="AK25" s="576"/>
      <c r="AL25" s="576"/>
      <c r="AM25" s="576"/>
      <c r="AN25" s="576"/>
      <c r="AO25" s="576"/>
      <c r="AP25" s="576"/>
      <c r="AQ25" s="576"/>
      <c r="AR25" s="576"/>
      <c r="AS25" s="576"/>
      <c r="AT25" s="576"/>
      <c r="AU25" s="576"/>
      <c r="AV25" s="576"/>
      <c r="AW25" s="576"/>
      <c r="AX25" s="576"/>
      <c r="AY25" s="576"/>
      <c r="AZ25" s="576"/>
      <c r="BA25" s="576"/>
      <c r="BB25" s="576"/>
      <c r="BC25" s="576"/>
      <c r="BD25" s="576"/>
      <c r="BE25" s="577"/>
    </row>
    <row r="26" spans="1:57" x14ac:dyDescent="0.2">
      <c r="A26" s="576"/>
      <c r="B26" s="98"/>
      <c r="C26" s="98"/>
      <c r="D26" s="98"/>
      <c r="E26" s="98"/>
      <c r="F26" s="98"/>
      <c r="G26" s="576"/>
      <c r="H26" s="576"/>
      <c r="I26" s="576"/>
      <c r="J26" s="576"/>
      <c r="K26" s="576"/>
      <c r="L26" s="576"/>
      <c r="M26" s="576"/>
      <c r="N26" s="576"/>
      <c r="O26" s="576"/>
      <c r="P26" s="576"/>
      <c r="Q26" s="576"/>
      <c r="R26" s="576"/>
      <c r="S26" s="576"/>
      <c r="T26" s="576"/>
      <c r="U26" s="576"/>
      <c r="V26" s="576"/>
      <c r="W26" s="576"/>
      <c r="X26" s="576"/>
      <c r="Y26" s="576"/>
      <c r="Z26" s="576"/>
      <c r="AA26" s="98"/>
      <c r="AB26" s="98"/>
      <c r="AC26" s="98"/>
      <c r="AD26" s="98"/>
      <c r="AE26" s="98"/>
      <c r="AF26" s="98"/>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6"/>
      <c r="BC26" s="576"/>
      <c r="BD26" s="576"/>
      <c r="BE26" s="577"/>
    </row>
    <row r="27" spans="1:57" x14ac:dyDescent="0.2">
      <c r="A27" s="576"/>
      <c r="B27" s="98"/>
      <c r="C27" s="98"/>
      <c r="D27" s="98"/>
      <c r="E27" s="98"/>
      <c r="F27" s="98"/>
      <c r="G27" s="576"/>
      <c r="H27" s="576"/>
      <c r="I27" s="576"/>
      <c r="J27" s="576"/>
      <c r="K27" s="576"/>
      <c r="L27" s="576"/>
      <c r="M27" s="576"/>
      <c r="N27" s="576"/>
      <c r="O27" s="576"/>
      <c r="P27" s="576"/>
      <c r="Q27" s="576"/>
      <c r="R27" s="576"/>
      <c r="S27" s="576"/>
      <c r="T27" s="576"/>
      <c r="U27" s="576"/>
      <c r="V27" s="576"/>
      <c r="W27" s="576"/>
      <c r="X27" s="576"/>
      <c r="Y27" s="576"/>
      <c r="Z27" s="576"/>
      <c r="AA27" s="98"/>
      <c r="AB27" s="98"/>
      <c r="AC27" s="98"/>
      <c r="AD27" s="98"/>
      <c r="AE27" s="98"/>
      <c r="AF27" s="98"/>
      <c r="AG27" s="576"/>
      <c r="AH27" s="576"/>
      <c r="AI27" s="576"/>
      <c r="AJ27" s="576"/>
      <c r="AK27" s="576"/>
      <c r="AL27" s="576"/>
      <c r="AM27" s="576"/>
      <c r="AN27" s="576"/>
      <c r="AO27" s="576"/>
      <c r="AP27" s="576"/>
      <c r="AQ27" s="576"/>
      <c r="AR27" s="576"/>
      <c r="AS27" s="576"/>
      <c r="AT27" s="576"/>
      <c r="AU27" s="576"/>
      <c r="AV27" s="576"/>
      <c r="AW27" s="576"/>
      <c r="AX27" s="576"/>
      <c r="AY27" s="576"/>
      <c r="AZ27" s="576"/>
      <c r="BA27" s="576"/>
      <c r="BB27" s="576"/>
      <c r="BC27" s="576"/>
      <c r="BD27" s="576"/>
      <c r="BE27" s="577"/>
    </row>
    <row r="28" spans="1:57" x14ac:dyDescent="0.2">
      <c r="A28" s="576"/>
      <c r="B28" s="98"/>
      <c r="C28" s="98"/>
      <c r="D28" s="98"/>
      <c r="E28" s="98"/>
      <c r="F28" s="98"/>
      <c r="G28" s="576"/>
      <c r="H28" s="576"/>
      <c r="I28" s="576"/>
      <c r="J28" s="576"/>
      <c r="K28" s="576"/>
      <c r="L28" s="576"/>
      <c r="M28" s="576"/>
      <c r="N28" s="576"/>
      <c r="O28" s="576"/>
      <c r="P28" s="576"/>
      <c r="Q28" s="576"/>
      <c r="R28" s="576"/>
      <c r="S28" s="576"/>
      <c r="T28" s="576"/>
      <c r="U28" s="576"/>
      <c r="V28" s="576"/>
      <c r="W28" s="576"/>
      <c r="X28" s="576"/>
      <c r="Y28" s="576"/>
      <c r="Z28" s="576"/>
      <c r="AA28" s="98"/>
      <c r="AB28" s="98"/>
      <c r="AC28" s="98"/>
      <c r="AD28" s="98"/>
      <c r="AE28" s="98"/>
      <c r="AF28" s="98"/>
      <c r="AG28" s="576"/>
      <c r="AH28" s="576"/>
      <c r="AI28" s="576"/>
      <c r="AJ28" s="576"/>
      <c r="AK28" s="576"/>
      <c r="AL28" s="576"/>
      <c r="AM28" s="576"/>
      <c r="AN28" s="576"/>
      <c r="AO28" s="576"/>
      <c r="AP28" s="576"/>
      <c r="AQ28" s="576"/>
      <c r="AR28" s="576"/>
      <c r="AS28" s="576"/>
      <c r="AT28" s="576"/>
      <c r="AU28" s="576"/>
      <c r="AV28" s="576"/>
      <c r="AW28" s="576"/>
      <c r="AX28" s="576"/>
      <c r="AY28" s="576"/>
      <c r="AZ28" s="576"/>
      <c r="BA28" s="576"/>
      <c r="BB28" s="576"/>
      <c r="BC28" s="576"/>
      <c r="BD28" s="576"/>
      <c r="BE28" s="577"/>
    </row>
    <row r="29" spans="1:57" x14ac:dyDescent="0.2">
      <c r="A29" s="576"/>
      <c r="B29" s="98"/>
      <c r="C29" s="98"/>
      <c r="D29" s="98"/>
      <c r="E29" s="98"/>
      <c r="F29" s="98"/>
      <c r="G29" s="576"/>
      <c r="H29" s="576"/>
      <c r="I29" s="576"/>
      <c r="J29" s="576"/>
      <c r="K29" s="576"/>
      <c r="L29" s="576"/>
      <c r="M29" s="576"/>
      <c r="N29" s="576"/>
      <c r="O29" s="576"/>
      <c r="P29" s="576"/>
      <c r="Q29" s="576"/>
      <c r="R29" s="576"/>
      <c r="S29" s="576"/>
      <c r="T29" s="576"/>
      <c r="U29" s="576"/>
      <c r="V29" s="576"/>
      <c r="W29" s="576"/>
      <c r="X29" s="576"/>
      <c r="Y29" s="576"/>
      <c r="Z29" s="576"/>
      <c r="AA29" s="98"/>
      <c r="AB29" s="98"/>
      <c r="AC29" s="98"/>
      <c r="AD29" s="98"/>
      <c r="AE29" s="98"/>
      <c r="AF29" s="98"/>
      <c r="AG29" s="576"/>
      <c r="AH29" s="576"/>
      <c r="AI29" s="576"/>
      <c r="AJ29" s="576"/>
      <c r="AK29" s="576"/>
      <c r="AL29" s="576"/>
      <c r="AM29" s="576"/>
      <c r="AN29" s="576"/>
      <c r="AO29" s="576"/>
      <c r="AP29" s="576"/>
      <c r="AQ29" s="576"/>
      <c r="AR29" s="576"/>
      <c r="AS29" s="576"/>
      <c r="AT29" s="576"/>
      <c r="AU29" s="576"/>
      <c r="AV29" s="576"/>
      <c r="AW29" s="576"/>
      <c r="AX29" s="576"/>
      <c r="AY29" s="576"/>
      <c r="AZ29" s="576"/>
      <c r="BA29" s="576"/>
      <c r="BB29" s="576"/>
      <c r="BC29" s="576"/>
      <c r="BD29" s="576"/>
      <c r="BE29" s="577"/>
    </row>
    <row r="30" spans="1:57" x14ac:dyDescent="0.2">
      <c r="A30" s="576"/>
      <c r="B30" s="98"/>
      <c r="C30" s="98"/>
      <c r="D30" s="98"/>
      <c r="E30" s="98"/>
      <c r="F30" s="98"/>
      <c r="G30" s="576"/>
      <c r="H30" s="576"/>
      <c r="I30" s="576"/>
      <c r="J30" s="576"/>
      <c r="K30" s="576"/>
      <c r="L30" s="576"/>
      <c r="M30" s="576"/>
      <c r="N30" s="576"/>
      <c r="O30" s="576"/>
      <c r="P30" s="576"/>
      <c r="Q30" s="576"/>
      <c r="R30" s="576"/>
      <c r="S30" s="576"/>
      <c r="T30" s="576"/>
      <c r="U30" s="576"/>
      <c r="V30" s="576"/>
      <c r="W30" s="576"/>
      <c r="X30" s="576"/>
      <c r="Y30" s="576"/>
      <c r="Z30" s="576"/>
      <c r="AA30" s="98"/>
      <c r="AB30" s="98"/>
      <c r="AC30" s="98"/>
      <c r="AD30" s="98"/>
      <c r="AE30" s="98"/>
      <c r="AF30" s="98"/>
      <c r="AG30" s="576"/>
      <c r="AH30" s="576"/>
      <c r="AI30" s="576"/>
      <c r="AJ30" s="576"/>
      <c r="AK30" s="576"/>
      <c r="AL30" s="576"/>
      <c r="AM30" s="576"/>
      <c r="AN30" s="576"/>
      <c r="AO30" s="576"/>
      <c r="AP30" s="576"/>
      <c r="AQ30" s="576"/>
      <c r="AR30" s="576"/>
      <c r="AS30" s="576"/>
      <c r="AT30" s="576"/>
      <c r="AU30" s="576"/>
      <c r="AV30" s="576"/>
      <c r="AW30" s="576"/>
      <c r="AX30" s="576"/>
      <c r="AY30" s="576"/>
      <c r="AZ30" s="576"/>
      <c r="BA30" s="576"/>
      <c r="BB30" s="576"/>
      <c r="BC30" s="576"/>
      <c r="BD30" s="576"/>
      <c r="BE30" s="577"/>
    </row>
    <row r="31" spans="1:57" x14ac:dyDescent="0.2">
      <c r="A31" s="576"/>
      <c r="B31" s="98"/>
      <c r="C31" s="98"/>
      <c r="D31" s="98"/>
      <c r="E31" s="98"/>
      <c r="F31" s="98"/>
      <c r="G31" s="576"/>
      <c r="H31" s="576"/>
      <c r="I31" s="576"/>
      <c r="J31" s="576"/>
      <c r="K31" s="576"/>
      <c r="L31" s="576"/>
      <c r="M31" s="576"/>
      <c r="N31" s="576"/>
      <c r="O31" s="576"/>
      <c r="P31" s="576"/>
      <c r="Q31" s="576"/>
      <c r="R31" s="576"/>
      <c r="S31" s="576"/>
      <c r="T31" s="576"/>
      <c r="U31" s="576"/>
      <c r="V31" s="576"/>
      <c r="W31" s="576"/>
      <c r="X31" s="576"/>
      <c r="Y31" s="576"/>
      <c r="Z31" s="576"/>
      <c r="AA31" s="98"/>
      <c r="AB31" s="98"/>
      <c r="AC31" s="98"/>
      <c r="AD31" s="98"/>
      <c r="AE31" s="98"/>
      <c r="AF31" s="98"/>
      <c r="AG31" s="576"/>
      <c r="AH31" s="576"/>
      <c r="AI31" s="576"/>
      <c r="AJ31" s="576"/>
      <c r="AK31" s="576"/>
      <c r="AL31" s="576"/>
      <c r="AM31" s="576"/>
      <c r="AN31" s="576"/>
      <c r="AO31" s="576"/>
      <c r="AP31" s="576"/>
      <c r="AQ31" s="576"/>
      <c r="AR31" s="576"/>
      <c r="AS31" s="576"/>
      <c r="AT31" s="576"/>
      <c r="AU31" s="576"/>
      <c r="AV31" s="576"/>
      <c r="AW31" s="576"/>
      <c r="AX31" s="576"/>
      <c r="AY31" s="576"/>
      <c r="AZ31" s="576"/>
      <c r="BA31" s="576"/>
      <c r="BB31" s="576"/>
      <c r="BC31" s="576"/>
      <c r="BD31" s="576"/>
      <c r="BE31" s="577"/>
    </row>
    <row r="32" spans="1:57" x14ac:dyDescent="0.2">
      <c r="A32" s="576"/>
      <c r="B32" s="98"/>
      <c r="C32" s="98"/>
      <c r="D32" s="98"/>
      <c r="E32" s="98"/>
      <c r="F32" s="98"/>
      <c r="G32" s="576"/>
      <c r="H32" s="576"/>
      <c r="I32" s="576"/>
      <c r="J32" s="576"/>
      <c r="K32" s="576"/>
      <c r="L32" s="576"/>
      <c r="M32" s="576"/>
      <c r="N32" s="576"/>
      <c r="O32" s="576"/>
      <c r="P32" s="576"/>
      <c r="Q32" s="576"/>
      <c r="R32" s="576"/>
      <c r="S32" s="576"/>
      <c r="T32" s="576"/>
      <c r="U32" s="576"/>
      <c r="V32" s="576"/>
      <c r="W32" s="576"/>
      <c r="X32" s="576"/>
      <c r="Y32" s="576"/>
      <c r="Z32" s="576"/>
      <c r="AA32" s="98"/>
      <c r="AB32" s="98"/>
      <c r="AC32" s="98"/>
      <c r="AD32" s="98"/>
      <c r="AE32" s="98"/>
      <c r="AF32" s="98"/>
      <c r="AG32" s="576"/>
      <c r="AH32" s="576"/>
      <c r="AI32" s="576"/>
      <c r="AJ32" s="576"/>
      <c r="AK32" s="576"/>
      <c r="AL32" s="576"/>
      <c r="AM32" s="576"/>
      <c r="AN32" s="576"/>
      <c r="AO32" s="576"/>
      <c r="AP32" s="576"/>
      <c r="AQ32" s="576"/>
      <c r="AR32" s="576"/>
      <c r="AS32" s="576"/>
      <c r="AT32" s="576"/>
      <c r="AU32" s="576"/>
      <c r="AV32" s="576"/>
      <c r="AW32" s="576"/>
      <c r="AX32" s="576"/>
      <c r="AY32" s="576"/>
      <c r="AZ32" s="576"/>
      <c r="BA32" s="576"/>
      <c r="BB32" s="576"/>
      <c r="BC32" s="576"/>
      <c r="BD32" s="576"/>
      <c r="BE32" s="577"/>
    </row>
    <row r="33" spans="1:57" x14ac:dyDescent="0.2">
      <c r="A33" s="576"/>
      <c r="B33" s="98"/>
      <c r="C33" s="98"/>
      <c r="D33" s="98"/>
      <c r="E33" s="98"/>
      <c r="F33" s="98"/>
      <c r="G33" s="576"/>
      <c r="H33" s="576"/>
      <c r="I33" s="576"/>
      <c r="J33" s="576"/>
      <c r="K33" s="576"/>
      <c r="L33" s="576"/>
      <c r="M33" s="576"/>
      <c r="N33" s="576"/>
      <c r="O33" s="576"/>
      <c r="P33" s="576"/>
      <c r="Q33" s="576"/>
      <c r="R33" s="576"/>
      <c r="S33" s="576"/>
      <c r="T33" s="576"/>
      <c r="U33" s="576"/>
      <c r="V33" s="576"/>
      <c r="W33" s="576"/>
      <c r="X33" s="576"/>
      <c r="Y33" s="576"/>
      <c r="Z33" s="576"/>
      <c r="AA33" s="98"/>
      <c r="AB33" s="98"/>
      <c r="AC33" s="98"/>
      <c r="AD33" s="98"/>
      <c r="AE33" s="98"/>
      <c r="AF33" s="98"/>
      <c r="AG33" s="576"/>
      <c r="AH33" s="576"/>
      <c r="AI33" s="576"/>
      <c r="AJ33" s="576"/>
      <c r="AK33" s="576"/>
      <c r="AL33" s="576"/>
      <c r="AM33" s="576"/>
      <c r="AN33" s="576"/>
      <c r="AO33" s="576"/>
      <c r="AP33" s="576"/>
      <c r="AQ33" s="576"/>
      <c r="AR33" s="576"/>
      <c r="AS33" s="576"/>
      <c r="AT33" s="576"/>
      <c r="AU33" s="576"/>
      <c r="AV33" s="576"/>
      <c r="AW33" s="576"/>
      <c r="AX33" s="576"/>
      <c r="AY33" s="576"/>
      <c r="AZ33" s="576"/>
      <c r="BA33" s="576"/>
      <c r="BB33" s="576"/>
      <c r="BC33" s="576"/>
      <c r="BD33" s="576"/>
      <c r="BE33" s="577"/>
    </row>
    <row r="34" spans="1:57" x14ac:dyDescent="0.2">
      <c r="A34" s="576"/>
      <c r="B34" s="98"/>
      <c r="C34" s="98"/>
      <c r="D34" s="98"/>
      <c r="E34" s="98"/>
      <c r="F34" s="98"/>
      <c r="G34" s="576"/>
      <c r="H34" s="576"/>
      <c r="I34" s="576"/>
      <c r="J34" s="576"/>
      <c r="K34" s="576"/>
      <c r="L34" s="576"/>
      <c r="M34" s="576"/>
      <c r="N34" s="576"/>
      <c r="O34" s="576"/>
      <c r="P34" s="576"/>
      <c r="Q34" s="576"/>
      <c r="R34" s="576"/>
      <c r="S34" s="576"/>
      <c r="T34" s="576"/>
      <c r="U34" s="576"/>
      <c r="V34" s="576"/>
      <c r="W34" s="576"/>
      <c r="X34" s="576"/>
      <c r="Y34" s="576"/>
      <c r="Z34" s="576"/>
      <c r="AA34" s="98"/>
      <c r="AB34" s="98"/>
      <c r="AC34" s="98"/>
      <c r="AD34" s="98"/>
      <c r="AE34" s="98"/>
      <c r="AF34" s="98"/>
      <c r="AG34" s="576"/>
      <c r="AH34" s="576"/>
      <c r="AI34" s="576"/>
      <c r="AJ34" s="576"/>
      <c r="AK34" s="576"/>
      <c r="AL34" s="576"/>
      <c r="AM34" s="576"/>
      <c r="AN34" s="576"/>
      <c r="AO34" s="576"/>
      <c r="AP34" s="576"/>
      <c r="AQ34" s="576"/>
      <c r="AR34" s="576"/>
      <c r="AS34" s="576"/>
      <c r="AT34" s="576"/>
      <c r="AU34" s="576"/>
      <c r="AV34" s="576"/>
      <c r="AW34" s="576"/>
      <c r="AX34" s="576"/>
      <c r="AY34" s="576"/>
      <c r="AZ34" s="576"/>
      <c r="BA34" s="576"/>
      <c r="BB34" s="576"/>
      <c r="BC34" s="576"/>
      <c r="BD34" s="576"/>
      <c r="BE34" s="577"/>
    </row>
    <row r="35" spans="1:57" x14ac:dyDescent="0.2">
      <c r="A35" s="576"/>
      <c r="B35" s="98"/>
      <c r="C35" s="98"/>
      <c r="D35" s="98"/>
      <c r="E35" s="98"/>
      <c r="F35" s="98"/>
      <c r="G35" s="576"/>
      <c r="H35" s="576"/>
      <c r="I35" s="576"/>
      <c r="J35" s="576"/>
      <c r="K35" s="576"/>
      <c r="L35" s="576"/>
      <c r="M35" s="576"/>
      <c r="N35" s="576"/>
      <c r="O35" s="576"/>
      <c r="P35" s="576"/>
      <c r="Q35" s="576"/>
      <c r="R35" s="576"/>
      <c r="S35" s="576"/>
      <c r="T35" s="576"/>
      <c r="U35" s="576"/>
      <c r="V35" s="576"/>
      <c r="W35" s="576"/>
      <c r="X35" s="576"/>
      <c r="Y35" s="576"/>
      <c r="Z35" s="576"/>
      <c r="AA35" s="98"/>
      <c r="AB35" s="98"/>
      <c r="AC35" s="98"/>
      <c r="AD35" s="98"/>
      <c r="AE35" s="98"/>
      <c r="AF35" s="98"/>
      <c r="AG35" s="576"/>
      <c r="AH35" s="576"/>
      <c r="AI35" s="576"/>
      <c r="AJ35" s="576"/>
      <c r="AK35" s="576"/>
      <c r="AL35" s="576"/>
      <c r="AM35" s="576"/>
      <c r="AN35" s="576"/>
      <c r="AO35" s="576"/>
      <c r="AP35" s="576"/>
      <c r="AQ35" s="576"/>
      <c r="AR35" s="576"/>
      <c r="AS35" s="576"/>
      <c r="AT35" s="576"/>
      <c r="AU35" s="576"/>
      <c r="AV35" s="576"/>
      <c r="AW35" s="576"/>
      <c r="AX35" s="576"/>
      <c r="AY35" s="576"/>
      <c r="AZ35" s="576"/>
      <c r="BA35" s="576"/>
      <c r="BB35" s="576"/>
      <c r="BC35" s="576"/>
      <c r="BD35" s="576"/>
      <c r="BE35" s="577"/>
    </row>
    <row r="36" spans="1:57" x14ac:dyDescent="0.2">
      <c r="A36" s="576"/>
      <c r="B36" s="98"/>
      <c r="C36" s="98"/>
      <c r="D36" s="98"/>
      <c r="E36" s="98"/>
      <c r="F36" s="98"/>
      <c r="G36" s="576"/>
      <c r="H36" s="576"/>
      <c r="I36" s="576"/>
      <c r="J36" s="576"/>
      <c r="K36" s="576"/>
      <c r="L36" s="576"/>
      <c r="M36" s="576"/>
      <c r="N36" s="576"/>
      <c r="O36" s="576"/>
      <c r="P36" s="576"/>
      <c r="Q36" s="576"/>
      <c r="R36" s="576"/>
      <c r="S36" s="576"/>
      <c r="T36" s="576"/>
      <c r="U36" s="576"/>
      <c r="V36" s="576"/>
      <c r="W36" s="576"/>
      <c r="X36" s="576"/>
      <c r="Y36" s="576"/>
      <c r="Z36" s="576"/>
      <c r="AA36" s="98"/>
      <c r="AB36" s="98"/>
      <c r="AC36" s="98"/>
      <c r="AD36" s="98"/>
      <c r="AE36" s="98"/>
      <c r="AF36" s="98"/>
      <c r="AG36" s="576"/>
      <c r="AH36" s="576"/>
      <c r="AI36" s="576"/>
      <c r="AJ36" s="576"/>
      <c r="AK36" s="576"/>
      <c r="AL36" s="576"/>
      <c r="AM36" s="576"/>
      <c r="AN36" s="576"/>
      <c r="AO36" s="576"/>
      <c r="AP36" s="576"/>
      <c r="AQ36" s="576"/>
      <c r="AR36" s="576"/>
      <c r="AS36" s="576"/>
      <c r="AT36" s="576"/>
      <c r="AU36" s="576"/>
      <c r="AV36" s="576"/>
      <c r="AW36" s="576"/>
      <c r="AX36" s="576"/>
      <c r="AY36" s="576"/>
      <c r="AZ36" s="576"/>
      <c r="BA36" s="576"/>
      <c r="BB36" s="576"/>
      <c r="BC36" s="576"/>
      <c r="BD36" s="576"/>
      <c r="BE36" s="577"/>
    </row>
    <row r="37" spans="1:57" x14ac:dyDescent="0.2">
      <c r="A37" s="576"/>
      <c r="B37" s="98"/>
      <c r="C37" s="98"/>
      <c r="D37" s="98"/>
      <c r="E37" s="98"/>
      <c r="F37" s="98"/>
      <c r="G37" s="576"/>
      <c r="H37" s="576"/>
      <c r="I37" s="576"/>
      <c r="J37" s="576"/>
      <c r="K37" s="576"/>
      <c r="L37" s="576"/>
      <c r="M37" s="576"/>
      <c r="N37" s="576"/>
      <c r="O37" s="576"/>
      <c r="P37" s="576"/>
      <c r="Q37" s="576"/>
      <c r="R37" s="576"/>
      <c r="S37" s="576"/>
      <c r="T37" s="576"/>
      <c r="U37" s="576"/>
      <c r="V37" s="576"/>
      <c r="W37" s="576"/>
      <c r="X37" s="576"/>
      <c r="Y37" s="576"/>
      <c r="Z37" s="576"/>
      <c r="AA37" s="98"/>
      <c r="AB37" s="98"/>
      <c r="AC37" s="98"/>
      <c r="AD37" s="98"/>
      <c r="AE37" s="98"/>
      <c r="AF37" s="98"/>
      <c r="AG37" s="576"/>
      <c r="AH37" s="576"/>
      <c r="AI37" s="576"/>
      <c r="AJ37" s="576"/>
      <c r="AK37" s="576"/>
      <c r="AL37" s="576"/>
      <c r="AM37" s="576"/>
      <c r="AN37" s="576"/>
      <c r="AO37" s="576"/>
      <c r="AP37" s="576"/>
      <c r="AQ37" s="576"/>
      <c r="AR37" s="576"/>
      <c r="AS37" s="576"/>
      <c r="AT37" s="576"/>
      <c r="AU37" s="576"/>
      <c r="AV37" s="576"/>
      <c r="AW37" s="576"/>
      <c r="AX37" s="576"/>
      <c r="AY37" s="576"/>
      <c r="AZ37" s="576"/>
      <c r="BA37" s="576"/>
      <c r="BB37" s="576"/>
      <c r="BC37" s="576"/>
      <c r="BD37" s="576"/>
      <c r="BE37" s="577"/>
    </row>
    <row r="38" spans="1:57" x14ac:dyDescent="0.2">
      <c r="A38" s="576"/>
      <c r="B38" s="98"/>
      <c r="C38" s="98"/>
      <c r="D38" s="98"/>
      <c r="E38" s="98"/>
      <c r="F38" s="98"/>
      <c r="G38" s="576"/>
      <c r="H38" s="576"/>
      <c r="I38" s="576"/>
      <c r="J38" s="576"/>
      <c r="K38" s="576"/>
      <c r="L38" s="576"/>
      <c r="M38" s="576"/>
      <c r="N38" s="576"/>
      <c r="O38" s="576"/>
      <c r="P38" s="576"/>
      <c r="Q38" s="576"/>
      <c r="R38" s="576"/>
      <c r="S38" s="576"/>
      <c r="T38" s="576"/>
      <c r="U38" s="576"/>
      <c r="V38" s="576"/>
      <c r="W38" s="576"/>
      <c r="X38" s="576"/>
      <c r="Y38" s="576"/>
      <c r="Z38" s="576"/>
      <c r="AA38" s="98"/>
      <c r="AB38" s="98"/>
      <c r="AC38" s="98"/>
      <c r="AD38" s="98"/>
      <c r="AE38" s="98"/>
      <c r="AF38" s="98"/>
      <c r="AG38" s="576"/>
      <c r="AH38" s="576"/>
      <c r="AI38" s="576"/>
      <c r="AJ38" s="576"/>
      <c r="AK38" s="576"/>
      <c r="AL38" s="576"/>
      <c r="AM38" s="576"/>
      <c r="AN38" s="576"/>
      <c r="AO38" s="576"/>
      <c r="AP38" s="576"/>
      <c r="AQ38" s="576"/>
      <c r="AR38" s="576"/>
      <c r="AS38" s="576"/>
      <c r="AT38" s="576"/>
      <c r="AU38" s="576"/>
      <c r="AV38" s="576"/>
      <c r="AW38" s="576"/>
      <c r="AX38" s="576"/>
      <c r="AY38" s="576"/>
      <c r="AZ38" s="576"/>
      <c r="BA38" s="576"/>
      <c r="BB38" s="576"/>
      <c r="BC38" s="576"/>
      <c r="BD38" s="576"/>
      <c r="BE38" s="577"/>
    </row>
    <row r="39" spans="1:57" x14ac:dyDescent="0.2">
      <c r="A39" s="576"/>
      <c r="B39" s="98"/>
      <c r="C39" s="98"/>
      <c r="D39" s="98"/>
      <c r="E39" s="98"/>
      <c r="F39" s="98"/>
      <c r="G39" s="576"/>
      <c r="H39" s="576"/>
      <c r="I39" s="576"/>
      <c r="J39" s="576"/>
      <c r="K39" s="576"/>
      <c r="L39" s="576"/>
      <c r="M39" s="576"/>
      <c r="N39" s="576"/>
      <c r="O39" s="576"/>
      <c r="P39" s="576"/>
      <c r="Q39" s="576"/>
      <c r="R39" s="576"/>
      <c r="S39" s="576"/>
      <c r="T39" s="576"/>
      <c r="U39" s="576"/>
      <c r="V39" s="576"/>
      <c r="W39" s="576"/>
      <c r="X39" s="576"/>
      <c r="Y39" s="576"/>
      <c r="Z39" s="576"/>
      <c r="AA39" s="98"/>
      <c r="AB39" s="98"/>
      <c r="AC39" s="98"/>
      <c r="AD39" s="98"/>
      <c r="AE39" s="98"/>
      <c r="AF39" s="98"/>
      <c r="AG39" s="576"/>
      <c r="AH39" s="576"/>
      <c r="AI39" s="576"/>
      <c r="AJ39" s="576"/>
      <c r="AK39" s="576"/>
      <c r="AL39" s="576"/>
      <c r="AM39" s="576"/>
      <c r="AN39" s="576"/>
      <c r="AO39" s="576"/>
      <c r="AP39" s="576"/>
      <c r="AQ39" s="576"/>
      <c r="AR39" s="576"/>
      <c r="AS39" s="576"/>
      <c r="AT39" s="576"/>
      <c r="AU39" s="576"/>
      <c r="AV39" s="576"/>
      <c r="AW39" s="576"/>
      <c r="AX39" s="576"/>
      <c r="AY39" s="576"/>
      <c r="AZ39" s="576"/>
      <c r="BA39" s="576"/>
      <c r="BB39" s="576"/>
      <c r="BC39" s="576"/>
      <c r="BD39" s="576"/>
      <c r="BE39" s="577"/>
    </row>
    <row r="40" spans="1:57" x14ac:dyDescent="0.2">
      <c r="A40" s="576"/>
      <c r="B40" s="98"/>
      <c r="C40" s="98"/>
      <c r="D40" s="98"/>
      <c r="E40" s="98"/>
      <c r="F40" s="98"/>
      <c r="G40" s="576"/>
      <c r="H40" s="576"/>
      <c r="I40" s="576"/>
      <c r="J40" s="576"/>
      <c r="K40" s="576"/>
      <c r="L40" s="576"/>
      <c r="M40" s="576"/>
      <c r="N40" s="576"/>
      <c r="O40" s="576"/>
      <c r="P40" s="576"/>
      <c r="Q40" s="576"/>
      <c r="R40" s="576"/>
      <c r="S40" s="576"/>
      <c r="T40" s="576"/>
      <c r="U40" s="576"/>
      <c r="V40" s="576"/>
      <c r="W40" s="576"/>
      <c r="X40" s="576"/>
      <c r="Y40" s="576"/>
      <c r="Z40" s="576"/>
      <c r="AA40" s="98"/>
      <c r="AB40" s="98"/>
      <c r="AC40" s="98"/>
      <c r="AD40" s="98"/>
      <c r="AE40" s="98"/>
      <c r="AF40" s="98"/>
      <c r="AG40" s="576"/>
      <c r="AH40" s="576"/>
      <c r="AI40" s="576"/>
      <c r="AJ40" s="576"/>
      <c r="AK40" s="576"/>
      <c r="AL40" s="576"/>
      <c r="AM40" s="576"/>
      <c r="AN40" s="576"/>
      <c r="AO40" s="576"/>
      <c r="AP40" s="576"/>
      <c r="AQ40" s="576"/>
      <c r="AR40" s="576"/>
      <c r="AS40" s="576"/>
      <c r="AT40" s="576"/>
      <c r="AU40" s="576"/>
      <c r="AV40" s="576"/>
      <c r="AW40" s="576"/>
      <c r="AX40" s="576"/>
      <c r="AY40" s="576"/>
      <c r="AZ40" s="576"/>
      <c r="BA40" s="576"/>
      <c r="BB40" s="576"/>
      <c r="BC40" s="576"/>
      <c r="BD40" s="576"/>
      <c r="BE40" s="577"/>
    </row>
    <row r="41" spans="1:57" x14ac:dyDescent="0.2">
      <c r="A41" s="576"/>
      <c r="B41" s="98"/>
      <c r="C41" s="98"/>
      <c r="D41" s="98"/>
      <c r="E41" s="98"/>
      <c r="F41" s="98"/>
      <c r="G41" s="576"/>
      <c r="H41" s="576"/>
      <c r="I41" s="576"/>
      <c r="J41" s="576"/>
      <c r="K41" s="576"/>
      <c r="L41" s="576"/>
      <c r="M41" s="576"/>
      <c r="N41" s="576"/>
      <c r="O41" s="576"/>
      <c r="P41" s="576"/>
      <c r="Q41" s="576"/>
      <c r="R41" s="576"/>
      <c r="S41" s="576"/>
      <c r="T41" s="576"/>
      <c r="U41" s="576"/>
      <c r="V41" s="576"/>
      <c r="W41" s="576"/>
      <c r="X41" s="576"/>
      <c r="Y41" s="576"/>
      <c r="Z41" s="576"/>
      <c r="AA41" s="98"/>
      <c r="AB41" s="98"/>
      <c r="AC41" s="98"/>
      <c r="AD41" s="98"/>
      <c r="AE41" s="98"/>
      <c r="AF41" s="98"/>
      <c r="AG41" s="576"/>
      <c r="AH41" s="576"/>
      <c r="AI41" s="576"/>
      <c r="AJ41" s="576"/>
      <c r="AK41" s="576"/>
      <c r="AL41" s="576"/>
      <c r="AM41" s="576"/>
      <c r="AN41" s="576"/>
      <c r="AO41" s="576"/>
      <c r="AP41" s="576"/>
      <c r="AQ41" s="576"/>
      <c r="AR41" s="576"/>
      <c r="AS41" s="576"/>
      <c r="AT41" s="576"/>
      <c r="AU41" s="576"/>
      <c r="AV41" s="576"/>
      <c r="AW41" s="576"/>
      <c r="AX41" s="576"/>
      <c r="AY41" s="576"/>
      <c r="AZ41" s="576"/>
      <c r="BA41" s="576"/>
      <c r="BB41" s="576"/>
      <c r="BC41" s="576"/>
      <c r="BD41" s="576"/>
      <c r="BE41" s="577"/>
    </row>
    <row r="42" spans="1:57" x14ac:dyDescent="0.2">
      <c r="A42" s="576"/>
      <c r="B42" s="98"/>
      <c r="C42" s="98"/>
      <c r="D42" s="98"/>
      <c r="E42" s="98"/>
      <c r="F42" s="98"/>
      <c r="G42" s="576"/>
      <c r="H42" s="576"/>
      <c r="I42" s="576"/>
      <c r="J42" s="576"/>
      <c r="K42" s="576"/>
      <c r="L42" s="576"/>
      <c r="M42" s="576"/>
      <c r="N42" s="576"/>
      <c r="O42" s="576"/>
      <c r="P42" s="576"/>
      <c r="Q42" s="576"/>
      <c r="R42" s="576"/>
      <c r="S42" s="576"/>
      <c r="T42" s="576"/>
      <c r="U42" s="576"/>
      <c r="V42" s="576"/>
      <c r="W42" s="576"/>
      <c r="X42" s="576"/>
      <c r="Y42" s="576"/>
      <c r="Z42" s="576"/>
      <c r="AA42" s="98"/>
      <c r="AB42" s="98"/>
      <c r="AC42" s="98"/>
      <c r="AD42" s="98"/>
      <c r="AE42" s="98"/>
      <c r="AF42" s="98"/>
      <c r="AG42" s="576"/>
      <c r="AH42" s="576"/>
      <c r="AI42" s="576"/>
      <c r="AJ42" s="576"/>
      <c r="AK42" s="576"/>
      <c r="AL42" s="576"/>
      <c r="AM42" s="576"/>
      <c r="AN42" s="576"/>
      <c r="AO42" s="576"/>
      <c r="AP42" s="576"/>
      <c r="AQ42" s="576"/>
      <c r="AR42" s="576"/>
      <c r="AS42" s="576"/>
      <c r="AT42" s="576"/>
      <c r="AU42" s="576"/>
      <c r="AV42" s="576"/>
      <c r="AW42" s="576"/>
      <c r="AX42" s="576"/>
      <c r="AY42" s="576"/>
      <c r="AZ42" s="576"/>
      <c r="BA42" s="576"/>
      <c r="BB42" s="576"/>
      <c r="BC42" s="576"/>
      <c r="BD42" s="576"/>
      <c r="BE42" s="577"/>
    </row>
    <row r="43" spans="1:57" x14ac:dyDescent="0.2">
      <c r="A43" s="576"/>
      <c r="B43" s="98"/>
      <c r="C43" s="98"/>
      <c r="D43" s="98"/>
      <c r="E43" s="98"/>
      <c r="F43" s="98"/>
      <c r="G43" s="576"/>
      <c r="H43" s="576"/>
      <c r="I43" s="576"/>
      <c r="J43" s="576"/>
      <c r="K43" s="576"/>
      <c r="L43" s="576"/>
      <c r="M43" s="576"/>
      <c r="N43" s="576"/>
      <c r="O43" s="576"/>
      <c r="P43" s="576"/>
      <c r="Q43" s="576"/>
      <c r="R43" s="576"/>
      <c r="S43" s="576"/>
      <c r="T43" s="576"/>
      <c r="U43" s="576"/>
      <c r="V43" s="576"/>
      <c r="W43" s="576"/>
      <c r="X43" s="576"/>
      <c r="Y43" s="576"/>
      <c r="Z43" s="576"/>
      <c r="AA43" s="98"/>
      <c r="AB43" s="98"/>
      <c r="AC43" s="98"/>
      <c r="AD43" s="98"/>
      <c r="AE43" s="98"/>
      <c r="AF43" s="98"/>
      <c r="AG43" s="576"/>
      <c r="AH43" s="576"/>
      <c r="AI43" s="576"/>
      <c r="AJ43" s="576"/>
      <c r="AK43" s="576"/>
      <c r="AL43" s="576"/>
      <c r="AM43" s="576"/>
      <c r="AN43" s="576"/>
      <c r="AO43" s="576"/>
      <c r="AP43" s="576"/>
      <c r="AQ43" s="576"/>
      <c r="AR43" s="576"/>
      <c r="AS43" s="576"/>
      <c r="AT43" s="576"/>
      <c r="AU43" s="576"/>
      <c r="AV43" s="576"/>
      <c r="AW43" s="576"/>
      <c r="AX43" s="576"/>
      <c r="AY43" s="576"/>
      <c r="AZ43" s="576"/>
      <c r="BA43" s="576"/>
      <c r="BB43" s="576"/>
      <c r="BC43" s="576"/>
      <c r="BD43" s="576"/>
      <c r="BE43" s="577"/>
    </row>
    <row r="44" spans="1:57" x14ac:dyDescent="0.2">
      <c r="A44" s="576"/>
      <c r="B44" s="98"/>
      <c r="C44" s="98"/>
      <c r="D44" s="98"/>
      <c r="E44" s="98"/>
      <c r="F44" s="98"/>
      <c r="G44" s="576"/>
      <c r="H44" s="576"/>
      <c r="I44" s="576"/>
      <c r="J44" s="576"/>
      <c r="K44" s="576"/>
      <c r="L44" s="576"/>
      <c r="M44" s="576"/>
      <c r="N44" s="576"/>
      <c r="O44" s="576"/>
      <c r="P44" s="576"/>
      <c r="Q44" s="576"/>
      <c r="R44" s="576"/>
      <c r="S44" s="576"/>
      <c r="T44" s="576"/>
      <c r="U44" s="576"/>
      <c r="V44" s="576"/>
      <c r="W44" s="576"/>
      <c r="X44" s="576"/>
      <c r="Y44" s="576"/>
      <c r="Z44" s="576"/>
      <c r="AA44" s="98"/>
      <c r="AB44" s="98"/>
      <c r="AC44" s="98"/>
      <c r="AD44" s="98"/>
      <c r="AE44" s="98"/>
      <c r="AF44" s="98"/>
      <c r="AG44" s="576"/>
      <c r="AH44" s="576"/>
      <c r="AI44" s="576"/>
      <c r="AJ44" s="576"/>
      <c r="AK44" s="576"/>
      <c r="AL44" s="576"/>
      <c r="AM44" s="576"/>
      <c r="AN44" s="576"/>
      <c r="AO44" s="576"/>
      <c r="AP44" s="576"/>
      <c r="AQ44" s="576"/>
      <c r="AR44" s="576"/>
      <c r="AS44" s="576"/>
      <c r="AT44" s="576"/>
      <c r="AU44" s="576"/>
      <c r="AV44" s="576"/>
      <c r="AW44" s="576"/>
      <c r="AX44" s="576"/>
      <c r="AY44" s="576"/>
      <c r="AZ44" s="576"/>
      <c r="BA44" s="576"/>
      <c r="BB44" s="576"/>
      <c r="BC44" s="576"/>
      <c r="BD44" s="576"/>
      <c r="BE44" s="577"/>
    </row>
    <row r="45" spans="1:57" x14ac:dyDescent="0.2">
      <c r="A45" s="576"/>
      <c r="B45" s="98"/>
      <c r="C45" s="98"/>
      <c r="D45" s="98"/>
      <c r="E45" s="98"/>
      <c r="F45" s="98"/>
      <c r="G45" s="576"/>
      <c r="H45" s="576"/>
      <c r="I45" s="576"/>
      <c r="J45" s="576"/>
      <c r="K45" s="576"/>
      <c r="L45" s="576"/>
      <c r="M45" s="576"/>
      <c r="N45" s="576"/>
      <c r="O45" s="576"/>
      <c r="P45" s="576"/>
      <c r="Q45" s="576"/>
      <c r="R45" s="576"/>
      <c r="S45" s="576"/>
      <c r="T45" s="576"/>
      <c r="U45" s="576"/>
      <c r="V45" s="576"/>
      <c r="W45" s="576"/>
      <c r="X45" s="576"/>
      <c r="Y45" s="576"/>
      <c r="Z45" s="576"/>
      <c r="AA45" s="98"/>
      <c r="AB45" s="98"/>
      <c r="AC45" s="98"/>
      <c r="AD45" s="98"/>
      <c r="AE45" s="98"/>
      <c r="AF45" s="98"/>
      <c r="AG45" s="576"/>
      <c r="AH45" s="576"/>
      <c r="AI45" s="576"/>
      <c r="AJ45" s="576"/>
      <c r="AK45" s="576"/>
      <c r="AL45" s="576"/>
      <c r="AM45" s="576"/>
      <c r="AN45" s="576"/>
      <c r="AO45" s="576"/>
      <c r="AP45" s="576"/>
      <c r="AQ45" s="576"/>
      <c r="AR45" s="576"/>
      <c r="AS45" s="576"/>
      <c r="AT45" s="576"/>
      <c r="AU45" s="576"/>
      <c r="AV45" s="576"/>
      <c r="AW45" s="576"/>
      <c r="AX45" s="576"/>
      <c r="AY45" s="576"/>
      <c r="AZ45" s="576"/>
      <c r="BA45" s="576"/>
      <c r="BB45" s="576"/>
      <c r="BC45" s="576"/>
      <c r="BD45" s="576"/>
      <c r="BE45" s="577"/>
    </row>
    <row r="46" spans="1:57" x14ac:dyDescent="0.2">
      <c r="A46" s="576"/>
      <c r="B46" s="98"/>
      <c r="C46" s="98"/>
      <c r="D46" s="98"/>
      <c r="E46" s="98"/>
      <c r="F46" s="98"/>
      <c r="G46" s="576"/>
      <c r="H46" s="576"/>
      <c r="I46" s="576"/>
      <c r="J46" s="576"/>
      <c r="K46" s="576"/>
      <c r="L46" s="576"/>
      <c r="M46" s="576"/>
      <c r="N46" s="576"/>
      <c r="O46" s="576"/>
      <c r="P46" s="576"/>
      <c r="Q46" s="576"/>
      <c r="R46" s="576"/>
      <c r="S46" s="576"/>
      <c r="T46" s="576"/>
      <c r="U46" s="576"/>
      <c r="V46" s="576"/>
      <c r="W46" s="576"/>
      <c r="X46" s="576"/>
      <c r="Y46" s="576"/>
      <c r="Z46" s="576"/>
      <c r="AA46" s="98"/>
      <c r="AB46" s="98"/>
      <c r="AC46" s="98"/>
      <c r="AD46" s="98"/>
      <c r="AE46" s="98"/>
      <c r="AF46" s="98"/>
      <c r="AG46" s="576"/>
      <c r="AH46" s="576"/>
      <c r="AI46" s="576"/>
      <c r="AJ46" s="576"/>
      <c r="AK46" s="576"/>
      <c r="AL46" s="576"/>
      <c r="AM46" s="576"/>
      <c r="AN46" s="576"/>
      <c r="AO46" s="576"/>
      <c r="AP46" s="576"/>
      <c r="AQ46" s="576"/>
      <c r="AR46" s="576"/>
      <c r="AS46" s="576"/>
      <c r="AT46" s="576"/>
      <c r="AU46" s="576"/>
      <c r="AV46" s="576"/>
      <c r="AW46" s="576"/>
      <c r="AX46" s="576"/>
      <c r="AY46" s="576"/>
      <c r="AZ46" s="576"/>
      <c r="BA46" s="576"/>
      <c r="BB46" s="576"/>
      <c r="BC46" s="576"/>
      <c r="BD46" s="576"/>
      <c r="BE46" s="577"/>
    </row>
    <row r="47" spans="1:57" x14ac:dyDescent="0.2">
      <c r="A47" s="576"/>
      <c r="B47" s="98"/>
      <c r="C47" s="98"/>
      <c r="D47" s="98"/>
      <c r="E47" s="98"/>
      <c r="F47" s="98"/>
      <c r="G47" s="576"/>
      <c r="H47" s="576"/>
      <c r="I47" s="576"/>
      <c r="J47" s="576"/>
      <c r="K47" s="576"/>
      <c r="L47" s="576"/>
      <c r="M47" s="576"/>
      <c r="N47" s="576"/>
      <c r="O47" s="576"/>
      <c r="P47" s="576"/>
      <c r="Q47" s="576"/>
      <c r="R47" s="576"/>
      <c r="S47" s="576"/>
      <c r="T47" s="576"/>
      <c r="U47" s="576"/>
      <c r="V47" s="576"/>
      <c r="W47" s="576"/>
      <c r="X47" s="576"/>
      <c r="Y47" s="576"/>
      <c r="Z47" s="576"/>
      <c r="AA47" s="98"/>
      <c r="AB47" s="98"/>
      <c r="AC47" s="98"/>
      <c r="AD47" s="98"/>
      <c r="AE47" s="98"/>
      <c r="AF47" s="98"/>
      <c r="AG47" s="576"/>
      <c r="AH47" s="576"/>
      <c r="AI47" s="576"/>
      <c r="AJ47" s="576"/>
      <c r="AK47" s="576"/>
      <c r="AL47" s="576"/>
      <c r="AM47" s="576"/>
      <c r="AN47" s="576"/>
      <c r="AO47" s="576"/>
      <c r="AP47" s="576"/>
      <c r="AQ47" s="576"/>
      <c r="AR47" s="576"/>
      <c r="AS47" s="576"/>
      <c r="AT47" s="576"/>
      <c r="AU47" s="576"/>
      <c r="AV47" s="576"/>
      <c r="AW47" s="576"/>
      <c r="AX47" s="576"/>
      <c r="AY47" s="576"/>
      <c r="AZ47" s="576"/>
      <c r="BA47" s="576"/>
      <c r="BB47" s="576"/>
      <c r="BC47" s="576"/>
      <c r="BD47" s="576"/>
      <c r="BE47" s="577"/>
    </row>
    <row r="48" spans="1:57" x14ac:dyDescent="0.2">
      <c r="A48" s="576"/>
      <c r="B48" s="98"/>
      <c r="C48" s="98"/>
      <c r="D48" s="98"/>
      <c r="E48" s="98"/>
      <c r="F48" s="98"/>
      <c r="G48" s="576"/>
      <c r="H48" s="576"/>
      <c r="I48" s="576"/>
      <c r="J48" s="576"/>
      <c r="K48" s="576"/>
      <c r="L48" s="576"/>
      <c r="M48" s="576"/>
      <c r="N48" s="576"/>
      <c r="O48" s="576"/>
      <c r="P48" s="576"/>
      <c r="Q48" s="576"/>
      <c r="R48" s="576"/>
      <c r="S48" s="576"/>
      <c r="T48" s="576"/>
      <c r="U48" s="576"/>
      <c r="V48" s="576"/>
      <c r="W48" s="576"/>
      <c r="X48" s="576"/>
      <c r="Y48" s="576"/>
      <c r="Z48" s="576"/>
      <c r="AA48" s="98"/>
      <c r="AB48" s="98"/>
      <c r="AC48" s="98"/>
      <c r="AD48" s="98"/>
      <c r="AE48" s="98"/>
      <c r="AF48" s="98"/>
      <c r="AG48" s="576"/>
      <c r="AH48" s="576"/>
      <c r="AI48" s="576"/>
      <c r="AJ48" s="576"/>
      <c r="AK48" s="576"/>
      <c r="AL48" s="576"/>
      <c r="AM48" s="576"/>
      <c r="AN48" s="576"/>
      <c r="AO48" s="576"/>
      <c r="AP48" s="576"/>
      <c r="AQ48" s="576"/>
      <c r="AR48" s="576"/>
      <c r="AS48" s="576"/>
      <c r="AT48" s="576"/>
      <c r="AU48" s="576"/>
      <c r="AV48" s="576"/>
      <c r="AW48" s="576"/>
      <c r="AX48" s="576"/>
      <c r="AY48" s="576"/>
      <c r="AZ48" s="576"/>
      <c r="BA48" s="576"/>
      <c r="BB48" s="576"/>
      <c r="BC48" s="576"/>
      <c r="BD48" s="576"/>
      <c r="BE48" s="577"/>
    </row>
    <row r="49" spans="1:57" x14ac:dyDescent="0.2">
      <c r="A49" s="576"/>
      <c r="B49" s="98"/>
      <c r="C49" s="98"/>
      <c r="D49" s="98"/>
      <c r="E49" s="98"/>
      <c r="F49" s="98"/>
      <c r="G49" s="576"/>
      <c r="H49" s="576"/>
      <c r="I49" s="576"/>
      <c r="J49" s="576"/>
      <c r="K49" s="576"/>
      <c r="L49" s="576"/>
      <c r="M49" s="576"/>
      <c r="N49" s="576"/>
      <c r="O49" s="576"/>
      <c r="P49" s="576"/>
      <c r="Q49" s="576"/>
      <c r="R49" s="576"/>
      <c r="S49" s="576"/>
      <c r="T49" s="576"/>
      <c r="U49" s="576"/>
      <c r="V49" s="576"/>
      <c r="W49" s="576"/>
      <c r="X49" s="576"/>
      <c r="Y49" s="576"/>
      <c r="Z49" s="576"/>
      <c r="AA49" s="98"/>
      <c r="AB49" s="98"/>
      <c r="AC49" s="98"/>
      <c r="AD49" s="98"/>
      <c r="AE49" s="98"/>
      <c r="AF49" s="98"/>
      <c r="AG49" s="576"/>
      <c r="AH49" s="576"/>
      <c r="AI49" s="576"/>
      <c r="AJ49" s="576"/>
      <c r="AK49" s="576"/>
      <c r="AL49" s="576"/>
      <c r="AM49" s="576"/>
      <c r="AN49" s="576"/>
      <c r="AO49" s="576"/>
      <c r="AP49" s="576"/>
      <c r="AQ49" s="576"/>
      <c r="AR49" s="576"/>
      <c r="AS49" s="576"/>
      <c r="AT49" s="576"/>
      <c r="AU49" s="576"/>
      <c r="AV49" s="576"/>
      <c r="AW49" s="576"/>
      <c r="AX49" s="576"/>
      <c r="AY49" s="576"/>
      <c r="AZ49" s="576"/>
      <c r="BA49" s="576"/>
      <c r="BB49" s="576"/>
      <c r="BC49" s="576"/>
      <c r="BD49" s="576"/>
      <c r="BE49" s="577"/>
    </row>
    <row r="50" spans="1:57" x14ac:dyDescent="0.2">
      <c r="A50" s="576"/>
      <c r="B50" s="98"/>
      <c r="C50" s="98"/>
      <c r="D50" s="98"/>
      <c r="E50" s="98"/>
      <c r="F50" s="98"/>
      <c r="G50" s="576"/>
      <c r="H50" s="576"/>
      <c r="I50" s="576"/>
      <c r="J50" s="576"/>
      <c r="K50" s="576"/>
      <c r="L50" s="576"/>
      <c r="M50" s="576"/>
      <c r="N50" s="576"/>
      <c r="O50" s="576"/>
      <c r="P50" s="576"/>
      <c r="Q50" s="576"/>
      <c r="R50" s="576"/>
      <c r="S50" s="576"/>
      <c r="T50" s="576"/>
      <c r="U50" s="576"/>
      <c r="V50" s="576"/>
      <c r="W50" s="576"/>
      <c r="X50" s="576"/>
      <c r="Y50" s="576"/>
      <c r="Z50" s="576"/>
      <c r="AA50" s="98"/>
      <c r="AB50" s="98"/>
      <c r="AC50" s="98"/>
      <c r="AD50" s="98"/>
      <c r="AE50" s="98"/>
      <c r="AF50" s="98"/>
      <c r="AG50" s="576"/>
      <c r="AH50" s="576"/>
      <c r="AI50" s="576"/>
      <c r="AJ50" s="576"/>
      <c r="AK50" s="576"/>
      <c r="AL50" s="576"/>
      <c r="AM50" s="576"/>
      <c r="AN50" s="576"/>
      <c r="AO50" s="576"/>
      <c r="AP50" s="576"/>
      <c r="AQ50" s="576"/>
      <c r="AR50" s="576"/>
      <c r="AS50" s="576"/>
      <c r="AT50" s="576"/>
      <c r="AU50" s="576"/>
      <c r="AV50" s="576"/>
      <c r="AW50" s="576"/>
      <c r="AX50" s="576"/>
      <c r="AY50" s="576"/>
      <c r="AZ50" s="576"/>
      <c r="BA50" s="576"/>
      <c r="BB50" s="576"/>
      <c r="BC50" s="576"/>
      <c r="BD50" s="576"/>
      <c r="BE50" s="577"/>
    </row>
    <row r="51" spans="1:57" x14ac:dyDescent="0.2">
      <c r="A51" s="576"/>
      <c r="B51" s="98"/>
      <c r="C51" s="98"/>
      <c r="D51" s="98"/>
      <c r="E51" s="98"/>
      <c r="F51" s="98"/>
      <c r="G51" s="576"/>
      <c r="H51" s="576"/>
      <c r="I51" s="576"/>
      <c r="J51" s="576"/>
      <c r="K51" s="576"/>
      <c r="L51" s="576"/>
      <c r="M51" s="576"/>
      <c r="N51" s="576"/>
      <c r="O51" s="576"/>
      <c r="P51" s="576"/>
      <c r="Q51" s="576"/>
      <c r="R51" s="576"/>
      <c r="S51" s="576"/>
      <c r="T51" s="576"/>
      <c r="U51" s="576"/>
      <c r="V51" s="576"/>
      <c r="W51" s="576"/>
      <c r="X51" s="576"/>
      <c r="Y51" s="576"/>
      <c r="Z51" s="576"/>
      <c r="AA51" s="98"/>
      <c r="AB51" s="98"/>
      <c r="AC51" s="98"/>
      <c r="AD51" s="98"/>
      <c r="AE51" s="98"/>
      <c r="AF51" s="98"/>
      <c r="AG51" s="576"/>
      <c r="AH51" s="576"/>
      <c r="AI51" s="576"/>
      <c r="AJ51" s="576"/>
      <c r="AK51" s="576"/>
      <c r="AL51" s="576"/>
      <c r="AM51" s="576"/>
      <c r="AN51" s="576"/>
      <c r="AO51" s="576"/>
      <c r="AP51" s="576"/>
      <c r="AQ51" s="576"/>
      <c r="AR51" s="576"/>
      <c r="AS51" s="576"/>
      <c r="AT51" s="576"/>
      <c r="AU51" s="576"/>
      <c r="AV51" s="576"/>
      <c r="AW51" s="576"/>
      <c r="AX51" s="576"/>
      <c r="AY51" s="576"/>
      <c r="AZ51" s="576"/>
      <c r="BA51" s="576"/>
      <c r="BB51" s="576"/>
      <c r="BC51" s="576"/>
      <c r="BD51" s="576"/>
      <c r="BE51" s="577"/>
    </row>
    <row r="52" spans="1:57" x14ac:dyDescent="0.2">
      <c r="A52" s="576"/>
      <c r="B52" s="98"/>
      <c r="C52" s="98"/>
      <c r="D52" s="98"/>
      <c r="E52" s="98"/>
      <c r="F52" s="98"/>
      <c r="G52" s="576"/>
      <c r="H52" s="576"/>
      <c r="I52" s="576"/>
      <c r="J52" s="576"/>
      <c r="K52" s="576"/>
      <c r="L52" s="576"/>
      <c r="M52" s="576"/>
      <c r="N52" s="576"/>
      <c r="O52" s="576"/>
      <c r="P52" s="576"/>
      <c r="Q52" s="576"/>
      <c r="R52" s="576"/>
      <c r="S52" s="576"/>
      <c r="T52" s="576"/>
      <c r="U52" s="576"/>
      <c r="V52" s="576"/>
      <c r="W52" s="576"/>
      <c r="X52" s="576"/>
      <c r="Y52" s="576"/>
      <c r="Z52" s="576"/>
      <c r="AA52" s="98"/>
      <c r="AB52" s="98"/>
      <c r="AC52" s="98"/>
      <c r="AD52" s="98"/>
      <c r="AE52" s="98"/>
      <c r="AF52" s="98"/>
      <c r="AG52" s="576"/>
      <c r="AH52" s="576"/>
      <c r="AI52" s="576"/>
      <c r="AJ52" s="576"/>
      <c r="AK52" s="576"/>
      <c r="AL52" s="576"/>
      <c r="AM52" s="576"/>
      <c r="AN52" s="576"/>
      <c r="AO52" s="576"/>
      <c r="AP52" s="576"/>
      <c r="AQ52" s="576"/>
      <c r="AR52" s="576"/>
      <c r="AS52" s="576"/>
      <c r="AT52" s="576"/>
      <c r="AU52" s="576"/>
      <c r="AV52" s="576"/>
      <c r="AW52" s="576"/>
      <c r="AX52" s="576"/>
      <c r="AY52" s="576"/>
      <c r="AZ52" s="576"/>
      <c r="BA52" s="576"/>
      <c r="BB52" s="576"/>
      <c r="BC52" s="576"/>
      <c r="BD52" s="576"/>
      <c r="BE52" s="577"/>
    </row>
    <row r="53" spans="1:57" x14ac:dyDescent="0.2">
      <c r="A53" s="576"/>
      <c r="B53" s="98"/>
      <c r="C53" s="98"/>
      <c r="D53" s="98"/>
      <c r="E53" s="98"/>
      <c r="F53" s="98"/>
      <c r="G53" s="576"/>
      <c r="H53" s="576"/>
      <c r="I53" s="576"/>
      <c r="J53" s="576"/>
      <c r="K53" s="576"/>
      <c r="L53" s="576"/>
      <c r="M53" s="576"/>
      <c r="N53" s="576"/>
      <c r="O53" s="576"/>
      <c r="P53" s="576"/>
      <c r="Q53" s="576"/>
      <c r="R53" s="576"/>
      <c r="S53" s="576"/>
      <c r="T53" s="576"/>
      <c r="U53" s="576"/>
      <c r="V53" s="576"/>
      <c r="W53" s="576"/>
      <c r="X53" s="576"/>
      <c r="Y53" s="576"/>
      <c r="Z53" s="576"/>
      <c r="AA53" s="98"/>
      <c r="AB53" s="98"/>
      <c r="AC53" s="98"/>
      <c r="AD53" s="98"/>
      <c r="AE53" s="98"/>
      <c r="AF53" s="98"/>
      <c r="AG53" s="576"/>
      <c r="AH53" s="576"/>
      <c r="AI53" s="576"/>
      <c r="AJ53" s="576"/>
      <c r="AK53" s="576"/>
      <c r="AL53" s="576"/>
      <c r="AM53" s="576"/>
      <c r="AN53" s="576"/>
      <c r="AO53" s="576"/>
      <c r="AP53" s="576"/>
      <c r="AQ53" s="576"/>
      <c r="AR53" s="576"/>
      <c r="AS53" s="576"/>
      <c r="AT53" s="576"/>
      <c r="AU53" s="576"/>
      <c r="AV53" s="576"/>
      <c r="AW53" s="576"/>
      <c r="AX53" s="576"/>
      <c r="AY53" s="576"/>
      <c r="AZ53" s="576"/>
      <c r="BA53" s="576"/>
      <c r="BB53" s="576"/>
      <c r="BC53" s="576"/>
      <c r="BD53" s="576"/>
      <c r="BE53" s="577"/>
    </row>
    <row r="54" spans="1:57" x14ac:dyDescent="0.2">
      <c r="A54" s="576"/>
      <c r="B54" s="98"/>
      <c r="C54" s="98"/>
      <c r="D54" s="98"/>
      <c r="E54" s="98"/>
      <c r="F54" s="98"/>
      <c r="G54" s="576"/>
      <c r="H54" s="576"/>
      <c r="I54" s="576"/>
      <c r="J54" s="576"/>
      <c r="K54" s="576"/>
      <c r="L54" s="576"/>
      <c r="M54" s="576"/>
      <c r="N54" s="576"/>
      <c r="O54" s="576"/>
      <c r="P54" s="576"/>
      <c r="Q54" s="576"/>
      <c r="R54" s="576"/>
      <c r="S54" s="576"/>
      <c r="T54" s="576"/>
      <c r="U54" s="576"/>
      <c r="V54" s="576"/>
      <c r="W54" s="576"/>
      <c r="X54" s="576"/>
      <c r="Y54" s="576"/>
      <c r="Z54" s="576"/>
      <c r="AA54" s="98"/>
      <c r="AB54" s="98"/>
      <c r="AC54" s="98"/>
      <c r="AD54" s="98"/>
      <c r="AE54" s="98"/>
      <c r="AF54" s="98"/>
      <c r="AG54" s="576"/>
      <c r="AH54" s="576"/>
      <c r="AI54" s="576"/>
      <c r="AJ54" s="576"/>
      <c r="AK54" s="576"/>
      <c r="AL54" s="576"/>
      <c r="AM54" s="576"/>
      <c r="AN54" s="576"/>
      <c r="AO54" s="576"/>
      <c r="AP54" s="576"/>
      <c r="AQ54" s="576"/>
      <c r="AR54" s="576"/>
      <c r="AS54" s="576"/>
      <c r="AT54" s="576"/>
      <c r="AU54" s="576"/>
      <c r="AV54" s="576"/>
      <c r="AW54" s="576"/>
      <c r="AX54" s="576"/>
      <c r="AY54" s="576"/>
      <c r="AZ54" s="576"/>
      <c r="BA54" s="576"/>
      <c r="BB54" s="576"/>
      <c r="BC54" s="576"/>
      <c r="BD54" s="576"/>
      <c r="BE54" s="577"/>
    </row>
    <row r="55" spans="1:57" x14ac:dyDescent="0.2">
      <c r="A55" s="576"/>
      <c r="B55" s="98"/>
      <c r="C55" s="98"/>
      <c r="D55" s="98"/>
      <c r="E55" s="98"/>
      <c r="F55" s="98"/>
      <c r="G55" s="576"/>
      <c r="H55" s="576"/>
      <c r="I55" s="576"/>
      <c r="J55" s="576"/>
      <c r="K55" s="576"/>
      <c r="L55" s="576"/>
      <c r="M55" s="576"/>
      <c r="N55" s="576"/>
      <c r="O55" s="576"/>
      <c r="P55" s="576"/>
      <c r="Q55" s="576"/>
      <c r="R55" s="576"/>
      <c r="S55" s="576"/>
      <c r="T55" s="576"/>
      <c r="U55" s="576"/>
      <c r="V55" s="576"/>
      <c r="W55" s="576"/>
      <c r="X55" s="576"/>
      <c r="Y55" s="576"/>
      <c r="Z55" s="576"/>
      <c r="AA55" s="98"/>
      <c r="AB55" s="98"/>
      <c r="AC55" s="98"/>
      <c r="AD55" s="98"/>
      <c r="AE55" s="98"/>
      <c r="AF55" s="98"/>
      <c r="AG55" s="576"/>
      <c r="AH55" s="576"/>
      <c r="AI55" s="576"/>
      <c r="AJ55" s="576"/>
      <c r="AK55" s="576"/>
      <c r="AL55" s="576"/>
      <c r="AM55" s="576"/>
      <c r="AN55" s="576"/>
      <c r="AO55" s="576"/>
      <c r="AP55" s="576"/>
      <c r="AQ55" s="576"/>
      <c r="AR55" s="576"/>
      <c r="AS55" s="576"/>
      <c r="AT55" s="576"/>
      <c r="AU55" s="576"/>
      <c r="AV55" s="576"/>
      <c r="AW55" s="576"/>
      <c r="AX55" s="576"/>
      <c r="AY55" s="576"/>
      <c r="AZ55" s="576"/>
      <c r="BA55" s="576"/>
      <c r="BB55" s="576"/>
      <c r="BC55" s="576"/>
      <c r="BD55" s="576"/>
      <c r="BE55" s="577"/>
    </row>
    <row r="56" spans="1:57" x14ac:dyDescent="0.2">
      <c r="A56" s="576"/>
      <c r="B56" s="98"/>
      <c r="C56" s="98"/>
      <c r="D56" s="98"/>
      <c r="E56" s="98"/>
      <c r="F56" s="98"/>
      <c r="G56" s="576"/>
      <c r="H56" s="576"/>
      <c r="I56" s="576"/>
      <c r="J56" s="576"/>
      <c r="K56" s="576"/>
      <c r="L56" s="576"/>
      <c r="M56" s="576"/>
      <c r="N56" s="576"/>
      <c r="O56" s="576"/>
      <c r="P56" s="576"/>
      <c r="Q56" s="576"/>
      <c r="R56" s="576"/>
      <c r="S56" s="576"/>
      <c r="T56" s="576"/>
      <c r="U56" s="576"/>
      <c r="V56" s="576"/>
      <c r="W56" s="576"/>
      <c r="X56" s="576"/>
      <c r="Y56" s="576"/>
      <c r="Z56" s="576"/>
      <c r="AA56" s="98"/>
      <c r="AB56" s="98"/>
      <c r="AC56" s="98"/>
      <c r="AD56" s="98"/>
      <c r="AE56" s="98"/>
      <c r="AF56" s="98"/>
      <c r="AG56" s="576"/>
      <c r="AH56" s="576"/>
      <c r="AI56" s="576"/>
      <c r="AJ56" s="576"/>
      <c r="AK56" s="576"/>
      <c r="AL56" s="576"/>
      <c r="AM56" s="576"/>
      <c r="AN56" s="576"/>
      <c r="AO56" s="576"/>
      <c r="AP56" s="576"/>
      <c r="AQ56" s="576"/>
      <c r="AR56" s="576"/>
      <c r="AS56" s="576"/>
      <c r="AT56" s="576"/>
      <c r="AU56" s="576"/>
      <c r="AV56" s="576"/>
      <c r="AW56" s="576"/>
      <c r="AX56" s="576"/>
      <c r="AY56" s="576"/>
      <c r="AZ56" s="576"/>
      <c r="BA56" s="576"/>
      <c r="BB56" s="576"/>
      <c r="BC56" s="576"/>
      <c r="BD56" s="576"/>
      <c r="BE56" s="577"/>
    </row>
    <row r="57" spans="1:57" x14ac:dyDescent="0.2">
      <c r="A57" s="576"/>
      <c r="B57" s="98"/>
      <c r="C57" s="98"/>
      <c r="D57" s="98"/>
      <c r="E57" s="98"/>
      <c r="F57" s="98"/>
      <c r="G57" s="576"/>
      <c r="H57" s="576"/>
      <c r="I57" s="576"/>
      <c r="J57" s="576"/>
      <c r="K57" s="576"/>
      <c r="L57" s="576"/>
      <c r="M57" s="576"/>
      <c r="N57" s="576"/>
      <c r="O57" s="576"/>
      <c r="P57" s="576"/>
      <c r="Q57" s="576"/>
      <c r="R57" s="576"/>
      <c r="S57" s="576"/>
      <c r="T57" s="576"/>
      <c r="U57" s="576"/>
      <c r="V57" s="576"/>
      <c r="W57" s="576"/>
      <c r="X57" s="576"/>
      <c r="Y57" s="576"/>
      <c r="Z57" s="576"/>
      <c r="AA57" s="98"/>
      <c r="AB57" s="98"/>
      <c r="AC57" s="98"/>
      <c r="AD57" s="98"/>
      <c r="AE57" s="98"/>
      <c r="AF57" s="98"/>
      <c r="AG57" s="576"/>
      <c r="AH57" s="576"/>
      <c r="AI57" s="576"/>
      <c r="AJ57" s="576"/>
      <c r="AK57" s="576"/>
      <c r="AL57" s="576"/>
      <c r="AM57" s="576"/>
      <c r="AN57" s="576"/>
      <c r="AO57" s="576"/>
      <c r="AP57" s="576"/>
      <c r="AQ57" s="576"/>
      <c r="AR57" s="576"/>
      <c r="AS57" s="576"/>
      <c r="AT57" s="576"/>
      <c r="AU57" s="576"/>
      <c r="AV57" s="576"/>
      <c r="AW57" s="576"/>
      <c r="AX57" s="576"/>
      <c r="AY57" s="576"/>
      <c r="AZ57" s="576"/>
      <c r="BA57" s="576"/>
      <c r="BB57" s="576"/>
      <c r="BC57" s="576"/>
      <c r="BD57" s="576"/>
      <c r="BE57" s="577"/>
    </row>
    <row r="58" spans="1:57" x14ac:dyDescent="0.2">
      <c r="A58" s="576"/>
      <c r="B58" s="98"/>
      <c r="C58" s="98"/>
      <c r="D58" s="98"/>
      <c r="E58" s="98"/>
      <c r="F58" s="98"/>
      <c r="G58" s="576"/>
      <c r="H58" s="576"/>
      <c r="I58" s="576"/>
      <c r="J58" s="576"/>
      <c r="K58" s="576"/>
      <c r="L58" s="576"/>
      <c r="M58" s="576"/>
      <c r="N58" s="576"/>
      <c r="O58" s="576"/>
      <c r="P58" s="576"/>
      <c r="Q58" s="576"/>
      <c r="R58" s="576"/>
      <c r="S58" s="576"/>
      <c r="T58" s="576"/>
      <c r="U58" s="576"/>
      <c r="V58" s="576"/>
      <c r="W58" s="576"/>
      <c r="X58" s="576"/>
      <c r="Y58" s="576"/>
      <c r="Z58" s="576"/>
      <c r="AA58" s="98"/>
      <c r="AB58" s="98"/>
      <c r="AC58" s="98"/>
      <c r="AD58" s="98"/>
      <c r="AE58" s="98"/>
      <c r="AF58" s="98"/>
      <c r="AG58" s="576"/>
      <c r="AH58" s="576"/>
      <c r="AI58" s="576"/>
      <c r="AJ58" s="576"/>
      <c r="AK58" s="576"/>
      <c r="AL58" s="576"/>
      <c r="AM58" s="576"/>
      <c r="AN58" s="576"/>
      <c r="AO58" s="576"/>
      <c r="AP58" s="576"/>
      <c r="AQ58" s="576"/>
      <c r="AR58" s="576"/>
      <c r="AS58" s="576"/>
      <c r="AT58" s="576"/>
      <c r="AU58" s="576"/>
      <c r="AV58" s="576"/>
      <c r="AW58" s="576"/>
      <c r="AX58" s="576"/>
      <c r="AY58" s="576"/>
      <c r="AZ58" s="576"/>
      <c r="BA58" s="576"/>
      <c r="BB58" s="576"/>
      <c r="BC58" s="576"/>
      <c r="BD58" s="576"/>
      <c r="BE58" s="577"/>
    </row>
    <row r="59" spans="1:57" x14ac:dyDescent="0.2">
      <c r="A59" s="576"/>
      <c r="B59" s="98"/>
      <c r="C59" s="98"/>
      <c r="D59" s="98"/>
      <c r="E59" s="98"/>
      <c r="F59" s="98"/>
      <c r="G59" s="576"/>
      <c r="H59" s="576"/>
      <c r="I59" s="576"/>
      <c r="J59" s="576"/>
      <c r="K59" s="576"/>
      <c r="L59" s="576"/>
      <c r="M59" s="576"/>
      <c r="N59" s="576"/>
      <c r="O59" s="576"/>
      <c r="P59" s="576"/>
      <c r="Q59" s="576"/>
      <c r="R59" s="576"/>
      <c r="S59" s="576"/>
      <c r="T59" s="576"/>
      <c r="U59" s="576"/>
      <c r="V59" s="576"/>
      <c r="W59" s="576"/>
      <c r="X59" s="576"/>
      <c r="Y59" s="576"/>
      <c r="Z59" s="576"/>
      <c r="AA59" s="98"/>
      <c r="AB59" s="98"/>
      <c r="AC59" s="98"/>
      <c r="AD59" s="98"/>
      <c r="AE59" s="98"/>
      <c r="AF59" s="98"/>
      <c r="AG59" s="576"/>
      <c r="AH59" s="576"/>
      <c r="AI59" s="576"/>
      <c r="AJ59" s="576"/>
      <c r="AK59" s="576"/>
      <c r="AL59" s="576"/>
      <c r="AM59" s="576"/>
      <c r="AN59" s="576"/>
      <c r="AO59" s="576"/>
      <c r="AP59" s="576"/>
      <c r="AQ59" s="576"/>
      <c r="AR59" s="576"/>
      <c r="AS59" s="576"/>
      <c r="AT59" s="576"/>
      <c r="AU59" s="576"/>
      <c r="AV59" s="576"/>
      <c r="AW59" s="576"/>
      <c r="AX59" s="576"/>
      <c r="AY59" s="576"/>
      <c r="AZ59" s="576"/>
      <c r="BA59" s="576"/>
      <c r="BB59" s="576"/>
      <c r="BC59" s="576"/>
      <c r="BD59" s="576"/>
      <c r="BE59" s="577"/>
    </row>
    <row r="60" spans="1:57" x14ac:dyDescent="0.2">
      <c r="A60" s="576"/>
      <c r="B60" s="98"/>
      <c r="C60" s="98"/>
      <c r="D60" s="98"/>
      <c r="E60" s="98"/>
      <c r="F60" s="98"/>
      <c r="G60" s="576"/>
      <c r="H60" s="576"/>
      <c r="I60" s="576"/>
      <c r="J60" s="576"/>
      <c r="K60" s="576"/>
      <c r="L60" s="576"/>
      <c r="M60" s="576"/>
      <c r="N60" s="576"/>
      <c r="O60" s="576"/>
      <c r="P60" s="576"/>
      <c r="Q60" s="576"/>
      <c r="R60" s="576"/>
      <c r="S60" s="576"/>
      <c r="T60" s="576"/>
      <c r="U60" s="576"/>
      <c r="V60" s="576"/>
      <c r="W60" s="576"/>
      <c r="X60" s="576"/>
      <c r="Y60" s="576"/>
      <c r="Z60" s="576"/>
      <c r="AA60" s="98"/>
      <c r="AB60" s="98"/>
      <c r="AC60" s="98"/>
      <c r="AD60" s="98"/>
      <c r="AE60" s="98"/>
      <c r="AF60" s="98"/>
      <c r="AG60" s="576"/>
      <c r="AH60" s="576"/>
      <c r="AI60" s="576"/>
      <c r="AJ60" s="576"/>
      <c r="AK60" s="576"/>
      <c r="AL60" s="576"/>
      <c r="AM60" s="576"/>
      <c r="AN60" s="576"/>
      <c r="AO60" s="576"/>
      <c r="AP60" s="576"/>
      <c r="AQ60" s="576"/>
      <c r="AR60" s="576"/>
      <c r="AS60" s="576"/>
      <c r="AT60" s="576"/>
      <c r="AU60" s="576"/>
      <c r="AV60" s="576"/>
      <c r="AW60" s="576"/>
      <c r="AX60" s="576"/>
      <c r="AY60" s="576"/>
      <c r="AZ60" s="576"/>
      <c r="BA60" s="576"/>
      <c r="BB60" s="576"/>
      <c r="BC60" s="576"/>
      <c r="BD60" s="576"/>
      <c r="BE60" s="577"/>
    </row>
    <row r="61" spans="1:57" x14ac:dyDescent="0.2">
      <c r="A61" s="576"/>
      <c r="B61" s="98"/>
      <c r="C61" s="98"/>
      <c r="D61" s="98"/>
      <c r="E61" s="98"/>
      <c r="F61" s="98"/>
      <c r="G61" s="576"/>
      <c r="H61" s="576"/>
      <c r="I61" s="576"/>
      <c r="J61" s="576"/>
      <c r="K61" s="576"/>
      <c r="L61" s="576"/>
      <c r="M61" s="576"/>
      <c r="N61" s="576"/>
      <c r="O61" s="576"/>
      <c r="P61" s="576"/>
      <c r="Q61" s="576"/>
      <c r="R61" s="576"/>
      <c r="S61" s="576"/>
      <c r="T61" s="576"/>
      <c r="U61" s="576"/>
      <c r="V61" s="576"/>
      <c r="W61" s="576"/>
      <c r="X61" s="576"/>
      <c r="Y61" s="576"/>
      <c r="Z61" s="576"/>
      <c r="AA61" s="98"/>
      <c r="AB61" s="98"/>
      <c r="AC61" s="98"/>
      <c r="AD61" s="98"/>
      <c r="AE61" s="98"/>
      <c r="AF61" s="98"/>
      <c r="AG61" s="576"/>
      <c r="AH61" s="576"/>
      <c r="AI61" s="576"/>
      <c r="AJ61" s="576"/>
      <c r="AK61" s="576"/>
      <c r="AL61" s="576"/>
      <c r="AM61" s="576"/>
      <c r="AN61" s="576"/>
      <c r="AO61" s="576"/>
      <c r="AP61" s="576"/>
      <c r="AQ61" s="576"/>
      <c r="AR61" s="576"/>
      <c r="AS61" s="576"/>
      <c r="AT61" s="576"/>
      <c r="AU61" s="576"/>
      <c r="AV61" s="576"/>
      <c r="AW61" s="576"/>
      <c r="AX61" s="576"/>
      <c r="AY61" s="576"/>
      <c r="AZ61" s="576"/>
      <c r="BA61" s="576"/>
      <c r="BB61" s="576"/>
      <c r="BC61" s="576"/>
      <c r="BD61" s="576"/>
      <c r="BE61" s="577"/>
    </row>
    <row r="62" spans="1:57" x14ac:dyDescent="0.2">
      <c r="A62" s="576"/>
      <c r="B62" s="98"/>
      <c r="C62" s="98"/>
      <c r="D62" s="98"/>
      <c r="E62" s="98"/>
      <c r="F62" s="98"/>
      <c r="G62" s="576"/>
      <c r="H62" s="576"/>
      <c r="I62" s="576"/>
      <c r="J62" s="576"/>
      <c r="K62" s="576"/>
      <c r="L62" s="576"/>
      <c r="M62" s="576"/>
      <c r="N62" s="576"/>
      <c r="O62" s="576"/>
      <c r="P62" s="576"/>
      <c r="Q62" s="576"/>
      <c r="R62" s="576"/>
      <c r="S62" s="576"/>
      <c r="T62" s="576"/>
      <c r="U62" s="576"/>
      <c r="V62" s="576"/>
      <c r="W62" s="576"/>
      <c r="X62" s="576"/>
      <c r="Y62" s="576"/>
      <c r="Z62" s="576"/>
      <c r="AA62" s="98"/>
      <c r="AB62" s="98"/>
      <c r="AC62" s="98"/>
      <c r="AD62" s="98"/>
      <c r="AE62" s="98"/>
      <c r="AF62" s="98"/>
      <c r="AG62" s="576"/>
      <c r="AH62" s="576"/>
      <c r="AI62" s="576"/>
      <c r="AJ62" s="576"/>
      <c r="AK62" s="576"/>
      <c r="AL62" s="576"/>
      <c r="AM62" s="576"/>
      <c r="AN62" s="576"/>
      <c r="AO62" s="576"/>
      <c r="AP62" s="576"/>
      <c r="AQ62" s="576"/>
      <c r="AR62" s="576"/>
      <c r="AS62" s="576"/>
      <c r="AT62" s="576"/>
      <c r="AU62" s="576"/>
      <c r="AV62" s="576"/>
      <c r="AW62" s="576"/>
      <c r="AX62" s="576"/>
      <c r="AY62" s="576"/>
      <c r="AZ62" s="576"/>
      <c r="BA62" s="576"/>
      <c r="BB62" s="576"/>
      <c r="BC62" s="576"/>
      <c r="BD62" s="576"/>
      <c r="BE62" s="577"/>
    </row>
    <row r="63" spans="1:57" x14ac:dyDescent="0.2">
      <c r="A63" s="576"/>
      <c r="B63" s="98"/>
      <c r="C63" s="98"/>
      <c r="D63" s="98"/>
      <c r="E63" s="98"/>
      <c r="F63" s="98"/>
      <c r="G63" s="576"/>
      <c r="H63" s="576"/>
      <c r="I63" s="576"/>
      <c r="J63" s="576"/>
      <c r="K63" s="576"/>
      <c r="L63" s="576"/>
      <c r="M63" s="576"/>
      <c r="N63" s="576"/>
      <c r="O63" s="576"/>
      <c r="P63" s="576"/>
      <c r="Q63" s="576"/>
      <c r="R63" s="576"/>
      <c r="S63" s="576"/>
      <c r="T63" s="576"/>
      <c r="U63" s="576"/>
      <c r="V63" s="576"/>
      <c r="W63" s="576"/>
      <c r="X63" s="576"/>
      <c r="Y63" s="576"/>
      <c r="Z63" s="576"/>
      <c r="AA63" s="98"/>
      <c r="AB63" s="98"/>
      <c r="AC63" s="98"/>
      <c r="AD63" s="98"/>
      <c r="AE63" s="98"/>
      <c r="AF63" s="98"/>
      <c r="AG63" s="576"/>
      <c r="AH63" s="576"/>
      <c r="AI63" s="576"/>
      <c r="AJ63" s="576"/>
      <c r="AK63" s="576"/>
      <c r="AL63" s="576"/>
      <c r="AM63" s="576"/>
      <c r="AN63" s="576"/>
      <c r="AO63" s="576"/>
      <c r="AP63" s="576"/>
      <c r="AQ63" s="576"/>
      <c r="AR63" s="576"/>
      <c r="AS63" s="576"/>
      <c r="AT63" s="576"/>
      <c r="AU63" s="576"/>
      <c r="AV63" s="576"/>
      <c r="AW63" s="576"/>
      <c r="AX63" s="576"/>
      <c r="AY63" s="576"/>
      <c r="AZ63" s="576"/>
      <c r="BA63" s="576"/>
      <c r="BB63" s="576"/>
      <c r="BC63" s="576"/>
      <c r="BD63" s="576"/>
      <c r="BE63" s="577"/>
    </row>
    <row r="64" spans="1:57" x14ac:dyDescent="0.2">
      <c r="A64" s="576"/>
      <c r="B64" s="98"/>
      <c r="C64" s="98"/>
      <c r="D64" s="98"/>
      <c r="E64" s="98"/>
      <c r="F64" s="98"/>
      <c r="G64" s="576"/>
      <c r="H64" s="576"/>
      <c r="I64" s="576"/>
      <c r="J64" s="576"/>
      <c r="K64" s="576"/>
      <c r="L64" s="576"/>
      <c r="M64" s="576"/>
      <c r="N64" s="576"/>
      <c r="O64" s="576"/>
      <c r="P64" s="576"/>
      <c r="Q64" s="576"/>
      <c r="R64" s="576"/>
      <c r="S64" s="576"/>
      <c r="T64" s="576"/>
      <c r="U64" s="576"/>
      <c r="V64" s="576"/>
      <c r="W64" s="576"/>
      <c r="X64" s="576"/>
      <c r="Y64" s="576"/>
      <c r="Z64" s="576"/>
      <c r="AA64" s="98"/>
      <c r="AB64" s="98"/>
      <c r="AC64" s="98"/>
      <c r="AD64" s="98"/>
      <c r="AE64" s="98"/>
      <c r="AF64" s="98"/>
      <c r="AG64" s="576"/>
      <c r="AH64" s="576"/>
      <c r="AI64" s="576"/>
      <c r="AJ64" s="576"/>
      <c r="AK64" s="576"/>
      <c r="AL64" s="576"/>
      <c r="AM64" s="576"/>
      <c r="AN64" s="576"/>
      <c r="AO64" s="576"/>
      <c r="AP64" s="576"/>
      <c r="AQ64" s="576"/>
      <c r="AR64" s="576"/>
      <c r="AS64" s="576"/>
      <c r="AT64" s="576"/>
      <c r="AU64" s="576"/>
      <c r="AV64" s="576"/>
      <c r="AW64" s="576"/>
      <c r="AX64" s="576"/>
      <c r="AY64" s="576"/>
      <c r="AZ64" s="576"/>
      <c r="BA64" s="576"/>
      <c r="BB64" s="576"/>
      <c r="BC64" s="576"/>
      <c r="BD64" s="576"/>
      <c r="BE64" s="577"/>
    </row>
    <row r="65" spans="1:57" x14ac:dyDescent="0.2">
      <c r="A65" s="576"/>
      <c r="B65" s="98"/>
      <c r="C65" s="98"/>
      <c r="D65" s="98"/>
      <c r="E65" s="98"/>
      <c r="F65" s="98"/>
      <c r="G65" s="576"/>
      <c r="H65" s="576"/>
      <c r="I65" s="576"/>
      <c r="J65" s="576"/>
      <c r="K65" s="576"/>
      <c r="L65" s="576"/>
      <c r="M65" s="576"/>
      <c r="N65" s="576"/>
      <c r="O65" s="576"/>
      <c r="P65" s="576"/>
      <c r="Q65" s="576"/>
      <c r="R65" s="576"/>
      <c r="S65" s="576"/>
      <c r="T65" s="576"/>
      <c r="U65" s="576"/>
      <c r="V65" s="576"/>
      <c r="W65" s="576"/>
      <c r="X65" s="576"/>
      <c r="Y65" s="576"/>
      <c r="Z65" s="576"/>
      <c r="AA65" s="98"/>
      <c r="AB65" s="98"/>
      <c r="AC65" s="98"/>
      <c r="AD65" s="98"/>
      <c r="AE65" s="98"/>
      <c r="AF65" s="98"/>
      <c r="AG65" s="576"/>
      <c r="AH65" s="576"/>
      <c r="AI65" s="576"/>
      <c r="AJ65" s="576"/>
      <c r="AK65" s="576"/>
      <c r="AL65" s="576"/>
      <c r="AM65" s="576"/>
      <c r="AN65" s="576"/>
      <c r="AO65" s="576"/>
      <c r="AP65" s="576"/>
      <c r="AQ65" s="576"/>
      <c r="AR65" s="576"/>
      <c r="AS65" s="576"/>
      <c r="AT65" s="576"/>
      <c r="AU65" s="576"/>
      <c r="AV65" s="576"/>
      <c r="AW65" s="576"/>
      <c r="AX65" s="576"/>
      <c r="AY65" s="576"/>
      <c r="AZ65" s="576"/>
      <c r="BA65" s="576"/>
      <c r="BB65" s="576"/>
      <c r="BC65" s="576"/>
      <c r="BD65" s="576"/>
      <c r="BE65" s="577"/>
    </row>
    <row r="66" spans="1:57" x14ac:dyDescent="0.2">
      <c r="A66" s="576"/>
      <c r="B66" s="98"/>
      <c r="C66" s="98"/>
      <c r="D66" s="98"/>
      <c r="E66" s="98"/>
      <c r="F66" s="98"/>
      <c r="G66" s="576"/>
      <c r="H66" s="576"/>
      <c r="I66" s="576"/>
      <c r="J66" s="576"/>
      <c r="K66" s="576"/>
      <c r="L66" s="576"/>
      <c r="M66" s="576"/>
      <c r="N66" s="576"/>
      <c r="O66" s="576"/>
      <c r="P66" s="576"/>
      <c r="Q66" s="576"/>
      <c r="R66" s="576"/>
      <c r="S66" s="576"/>
      <c r="T66" s="576"/>
      <c r="U66" s="576"/>
      <c r="V66" s="576"/>
      <c r="W66" s="576"/>
      <c r="X66" s="576"/>
      <c r="Y66" s="576"/>
      <c r="Z66" s="576"/>
      <c r="AA66" s="98"/>
      <c r="AB66" s="98"/>
      <c r="AC66" s="98"/>
      <c r="AD66" s="98"/>
      <c r="AE66" s="98"/>
      <c r="AF66" s="98"/>
      <c r="AG66" s="576"/>
      <c r="AH66" s="576"/>
      <c r="AI66" s="576"/>
      <c r="AJ66" s="576"/>
      <c r="AK66" s="576"/>
      <c r="AL66" s="576"/>
      <c r="AM66" s="576"/>
      <c r="AN66" s="576"/>
      <c r="AO66" s="576"/>
      <c r="AP66" s="576"/>
      <c r="AQ66" s="576"/>
      <c r="AR66" s="576"/>
      <c r="AS66" s="576"/>
      <c r="AT66" s="576"/>
      <c r="AU66" s="576"/>
      <c r="AV66" s="576"/>
      <c r="AW66" s="576"/>
      <c r="AX66" s="576"/>
      <c r="AY66" s="576"/>
      <c r="AZ66" s="576"/>
      <c r="BA66" s="576"/>
      <c r="BB66" s="576"/>
      <c r="BC66" s="576"/>
      <c r="BD66" s="576"/>
      <c r="BE66" s="577"/>
    </row>
    <row r="67" spans="1:57" x14ac:dyDescent="0.2">
      <c r="A67" s="576"/>
      <c r="B67" s="98"/>
      <c r="C67" s="98"/>
      <c r="D67" s="98"/>
      <c r="E67" s="98"/>
      <c r="F67" s="98"/>
      <c r="G67" s="576"/>
      <c r="H67" s="576"/>
      <c r="I67" s="576"/>
      <c r="J67" s="576"/>
      <c r="K67" s="576"/>
      <c r="L67" s="576"/>
      <c r="M67" s="576"/>
      <c r="N67" s="576"/>
      <c r="O67" s="576"/>
      <c r="P67" s="576"/>
      <c r="Q67" s="576"/>
      <c r="R67" s="576"/>
      <c r="S67" s="576"/>
      <c r="T67" s="576"/>
      <c r="U67" s="576"/>
      <c r="V67" s="576"/>
      <c r="W67" s="576"/>
      <c r="X67" s="576"/>
      <c r="Y67" s="576"/>
      <c r="Z67" s="576"/>
      <c r="AA67" s="98"/>
      <c r="AB67" s="98"/>
      <c r="AC67" s="98"/>
      <c r="AD67" s="98"/>
      <c r="AE67" s="98"/>
      <c r="AF67" s="98"/>
      <c r="AG67" s="576"/>
      <c r="AH67" s="576"/>
      <c r="AI67" s="576"/>
      <c r="AJ67" s="576"/>
      <c r="AK67" s="576"/>
      <c r="AL67" s="576"/>
      <c r="AM67" s="576"/>
      <c r="AN67" s="576"/>
      <c r="AO67" s="576"/>
      <c r="AP67" s="576"/>
      <c r="AQ67" s="576"/>
      <c r="AR67" s="576"/>
      <c r="AS67" s="576"/>
      <c r="AT67" s="576"/>
      <c r="AU67" s="576"/>
      <c r="AV67" s="576"/>
      <c r="AW67" s="576"/>
      <c r="AX67" s="576"/>
      <c r="AY67" s="576"/>
      <c r="AZ67" s="576"/>
      <c r="BA67" s="576"/>
      <c r="BB67" s="576"/>
      <c r="BC67" s="576"/>
      <c r="BD67" s="576"/>
      <c r="BE67" s="577"/>
    </row>
    <row r="68" spans="1:57" x14ac:dyDescent="0.2">
      <c r="A68" s="576"/>
      <c r="B68" s="98"/>
      <c r="C68" s="98"/>
      <c r="D68" s="98"/>
      <c r="E68" s="98"/>
      <c r="F68" s="98"/>
      <c r="G68" s="576"/>
      <c r="H68" s="576"/>
      <c r="I68" s="576"/>
      <c r="J68" s="576"/>
      <c r="K68" s="576"/>
      <c r="L68" s="576"/>
      <c r="M68" s="576"/>
      <c r="N68" s="576"/>
      <c r="O68" s="576"/>
      <c r="P68" s="576"/>
      <c r="Q68" s="576"/>
      <c r="R68" s="576"/>
      <c r="S68" s="576"/>
      <c r="T68" s="576"/>
      <c r="U68" s="576"/>
      <c r="V68" s="576"/>
      <c r="W68" s="576"/>
      <c r="X68" s="576"/>
      <c r="Y68" s="576"/>
      <c r="Z68" s="576"/>
      <c r="AA68" s="98"/>
      <c r="AB68" s="98"/>
      <c r="AC68" s="98"/>
      <c r="AD68" s="98"/>
      <c r="AE68" s="98"/>
      <c r="AF68" s="98"/>
      <c r="AG68" s="576"/>
      <c r="AH68" s="576"/>
      <c r="AI68" s="576"/>
      <c r="AJ68" s="576"/>
      <c r="AK68" s="576"/>
      <c r="AL68" s="576"/>
      <c r="AM68" s="576"/>
      <c r="AN68" s="576"/>
      <c r="AO68" s="576"/>
      <c r="AP68" s="576"/>
      <c r="AQ68" s="576"/>
      <c r="AR68" s="576"/>
      <c r="AS68" s="576"/>
      <c r="AT68" s="576"/>
      <c r="AU68" s="576"/>
      <c r="AV68" s="576"/>
      <c r="AW68" s="576"/>
      <c r="AX68" s="576"/>
      <c r="AY68" s="576"/>
      <c r="AZ68" s="576"/>
      <c r="BA68" s="576"/>
      <c r="BB68" s="576"/>
      <c r="BC68" s="576"/>
      <c r="BD68" s="576"/>
      <c r="BE68" s="577"/>
    </row>
    <row r="69" spans="1:57" x14ac:dyDescent="0.2">
      <c r="A69" s="576"/>
      <c r="B69" s="98"/>
      <c r="C69" s="98"/>
      <c r="D69" s="98"/>
      <c r="E69" s="98"/>
      <c r="F69" s="98"/>
      <c r="G69" s="576"/>
      <c r="H69" s="576"/>
      <c r="I69" s="576"/>
      <c r="J69" s="576"/>
      <c r="K69" s="576"/>
      <c r="L69" s="576"/>
      <c r="M69" s="576"/>
      <c r="N69" s="576"/>
      <c r="O69" s="576"/>
      <c r="P69" s="576"/>
      <c r="Q69" s="576"/>
      <c r="R69" s="576"/>
      <c r="S69" s="576"/>
      <c r="T69" s="576"/>
      <c r="U69" s="576"/>
      <c r="V69" s="576"/>
      <c r="W69" s="576"/>
      <c r="X69" s="576"/>
      <c r="Y69" s="576"/>
      <c r="Z69" s="576"/>
      <c r="AA69" s="98"/>
      <c r="AB69" s="98"/>
      <c r="AC69" s="98"/>
      <c r="AD69" s="98"/>
      <c r="AE69" s="98"/>
      <c r="AF69" s="98"/>
      <c r="AG69" s="576"/>
      <c r="AH69" s="576"/>
      <c r="AI69" s="576"/>
      <c r="AJ69" s="576"/>
      <c r="AK69" s="576"/>
      <c r="AL69" s="576"/>
      <c r="AM69" s="576"/>
      <c r="AN69" s="576"/>
      <c r="AO69" s="576"/>
      <c r="AP69" s="576"/>
      <c r="AQ69" s="576"/>
      <c r="AR69" s="576"/>
      <c r="AS69" s="576"/>
      <c r="AT69" s="576"/>
      <c r="AU69" s="576"/>
      <c r="AV69" s="576"/>
      <c r="AW69" s="576"/>
      <c r="AX69" s="576"/>
      <c r="AY69" s="576"/>
      <c r="AZ69" s="576"/>
      <c r="BA69" s="576"/>
      <c r="BB69" s="576"/>
      <c r="BC69" s="576"/>
      <c r="BD69" s="576"/>
      <c r="BE69" s="577"/>
    </row>
    <row r="70" spans="1:57" x14ac:dyDescent="0.2">
      <c r="A70" s="576"/>
      <c r="B70" s="98"/>
      <c r="C70" s="98"/>
      <c r="D70" s="98"/>
      <c r="E70" s="98"/>
      <c r="F70" s="98"/>
      <c r="G70" s="576"/>
      <c r="H70" s="576"/>
      <c r="I70" s="576"/>
      <c r="J70" s="576"/>
      <c r="K70" s="576"/>
      <c r="L70" s="576"/>
      <c r="M70" s="576"/>
      <c r="N70" s="576"/>
      <c r="O70" s="576"/>
      <c r="P70" s="576"/>
      <c r="Q70" s="576"/>
      <c r="R70" s="576"/>
      <c r="S70" s="576"/>
      <c r="T70" s="576"/>
      <c r="U70" s="576"/>
      <c r="V70" s="576"/>
      <c r="W70" s="576"/>
      <c r="X70" s="576"/>
      <c r="Y70" s="576"/>
      <c r="Z70" s="576"/>
      <c r="AA70" s="98"/>
      <c r="AB70" s="98"/>
      <c r="AC70" s="98"/>
      <c r="AD70" s="98"/>
      <c r="AE70" s="98"/>
      <c r="AF70" s="98"/>
      <c r="AG70" s="576"/>
      <c r="AH70" s="576"/>
      <c r="AI70" s="576"/>
      <c r="AJ70" s="576"/>
      <c r="AK70" s="576"/>
      <c r="AL70" s="576"/>
      <c r="AM70" s="576"/>
      <c r="AN70" s="576"/>
      <c r="AO70" s="576"/>
      <c r="AP70" s="576"/>
      <c r="AQ70" s="576"/>
      <c r="AR70" s="576"/>
      <c r="AS70" s="576"/>
      <c r="AT70" s="576"/>
      <c r="AU70" s="576"/>
      <c r="AV70" s="576"/>
      <c r="AW70" s="576"/>
      <c r="AX70" s="576"/>
      <c r="AY70" s="576"/>
      <c r="AZ70" s="576"/>
      <c r="BA70" s="576"/>
      <c r="BB70" s="576"/>
      <c r="BC70" s="576"/>
      <c r="BD70" s="576"/>
      <c r="BE70" s="577"/>
    </row>
    <row r="71" spans="1:57" x14ac:dyDescent="0.2">
      <c r="A71" s="576"/>
      <c r="B71" s="98"/>
      <c r="C71" s="98"/>
      <c r="D71" s="98"/>
      <c r="E71" s="98"/>
      <c r="F71" s="98"/>
      <c r="G71" s="576"/>
      <c r="H71" s="576"/>
      <c r="I71" s="576"/>
      <c r="J71" s="576"/>
      <c r="K71" s="576"/>
      <c r="L71" s="576"/>
      <c r="M71" s="576"/>
      <c r="N71" s="576"/>
      <c r="O71" s="576"/>
      <c r="P71" s="576"/>
      <c r="Q71" s="576"/>
      <c r="R71" s="576"/>
      <c r="S71" s="576"/>
      <c r="T71" s="576"/>
      <c r="U71" s="576"/>
      <c r="V71" s="576"/>
      <c r="W71" s="576"/>
      <c r="X71" s="576"/>
      <c r="Y71" s="576"/>
      <c r="Z71" s="576"/>
      <c r="AA71" s="98"/>
      <c r="AB71" s="98"/>
      <c r="AC71" s="98"/>
      <c r="AD71" s="98"/>
      <c r="AE71" s="98"/>
      <c r="AF71" s="98"/>
      <c r="AG71" s="576"/>
      <c r="AH71" s="576"/>
      <c r="AI71" s="576"/>
      <c r="AJ71" s="576"/>
      <c r="AK71" s="576"/>
      <c r="AL71" s="576"/>
      <c r="AM71" s="576"/>
      <c r="AN71" s="576"/>
      <c r="AO71" s="576"/>
      <c r="AP71" s="576"/>
      <c r="AQ71" s="576"/>
      <c r="AR71" s="576"/>
      <c r="AS71" s="576"/>
      <c r="AT71" s="576"/>
      <c r="AU71" s="576"/>
      <c r="AV71" s="576"/>
      <c r="AW71" s="576"/>
      <c r="AX71" s="576"/>
      <c r="AY71" s="576"/>
      <c r="AZ71" s="576"/>
      <c r="BA71" s="576"/>
      <c r="BB71" s="576"/>
      <c r="BC71" s="576"/>
      <c r="BD71" s="576"/>
      <c r="BE71" s="577"/>
    </row>
    <row r="72" spans="1:57" x14ac:dyDescent="0.2">
      <c r="A72" s="576"/>
      <c r="B72" s="98"/>
      <c r="C72" s="98"/>
      <c r="D72" s="98"/>
      <c r="E72" s="98"/>
      <c r="F72" s="98"/>
      <c r="G72" s="576"/>
      <c r="H72" s="576"/>
      <c r="I72" s="576"/>
      <c r="J72" s="576"/>
      <c r="K72" s="576"/>
      <c r="L72" s="576"/>
      <c r="M72" s="576"/>
      <c r="N72" s="576"/>
      <c r="O72" s="576"/>
      <c r="P72" s="576"/>
      <c r="Q72" s="576"/>
      <c r="R72" s="576"/>
      <c r="S72" s="576"/>
      <c r="T72" s="576"/>
      <c r="U72" s="576"/>
      <c r="V72" s="576"/>
      <c r="W72" s="576"/>
      <c r="X72" s="576"/>
      <c r="Y72" s="576"/>
      <c r="Z72" s="576"/>
      <c r="AA72" s="98"/>
      <c r="AB72" s="98"/>
      <c r="AC72" s="98"/>
      <c r="AD72" s="98"/>
      <c r="AE72" s="98"/>
      <c r="AF72" s="98"/>
      <c r="AG72" s="576"/>
      <c r="AH72" s="576"/>
      <c r="AI72" s="576"/>
      <c r="AJ72" s="576"/>
      <c r="AK72" s="576"/>
      <c r="AL72" s="576"/>
      <c r="AM72" s="576"/>
      <c r="AN72" s="576"/>
      <c r="AO72" s="576"/>
      <c r="AP72" s="576"/>
      <c r="AQ72" s="576"/>
      <c r="AR72" s="576"/>
      <c r="AS72" s="576"/>
      <c r="AT72" s="576"/>
      <c r="AU72" s="576"/>
      <c r="AV72" s="576"/>
      <c r="AW72" s="576"/>
      <c r="AX72" s="576"/>
      <c r="AY72" s="576"/>
      <c r="AZ72" s="576"/>
      <c r="BA72" s="576"/>
      <c r="BB72" s="576"/>
      <c r="BC72" s="576"/>
      <c r="BD72" s="576"/>
      <c r="BE72" s="577"/>
    </row>
    <row r="73" spans="1:57" x14ac:dyDescent="0.2">
      <c r="A73" s="576"/>
      <c r="B73" s="98"/>
      <c r="C73" s="98"/>
      <c r="D73" s="98"/>
      <c r="E73" s="98"/>
      <c r="F73" s="98"/>
      <c r="G73" s="576"/>
      <c r="H73" s="576"/>
      <c r="I73" s="576"/>
      <c r="J73" s="576"/>
      <c r="K73" s="576"/>
      <c r="L73" s="576"/>
      <c r="M73" s="576"/>
      <c r="N73" s="576"/>
      <c r="O73" s="576"/>
      <c r="P73" s="576"/>
      <c r="Q73" s="576"/>
      <c r="R73" s="576"/>
      <c r="S73" s="576"/>
      <c r="T73" s="576"/>
      <c r="U73" s="576"/>
      <c r="V73" s="576"/>
      <c r="W73" s="576"/>
      <c r="X73" s="576"/>
      <c r="Y73" s="576"/>
      <c r="Z73" s="576"/>
      <c r="AA73" s="98"/>
      <c r="AB73" s="98"/>
      <c r="AC73" s="98"/>
      <c r="AD73" s="98"/>
      <c r="AE73" s="98"/>
      <c r="AF73" s="98"/>
      <c r="AG73" s="576"/>
      <c r="AH73" s="576"/>
      <c r="AI73" s="576"/>
      <c r="AJ73" s="576"/>
      <c r="AK73" s="576"/>
      <c r="AL73" s="576"/>
      <c r="AM73" s="576"/>
      <c r="AN73" s="576"/>
      <c r="AO73" s="576"/>
      <c r="AP73" s="576"/>
      <c r="AQ73" s="576"/>
      <c r="AR73" s="576"/>
      <c r="AS73" s="576"/>
      <c r="AT73" s="576"/>
      <c r="AU73" s="576"/>
      <c r="AV73" s="576"/>
      <c r="AW73" s="576"/>
      <c r="AX73" s="576"/>
      <c r="AY73" s="576"/>
      <c r="AZ73" s="576"/>
      <c r="BA73" s="576"/>
      <c r="BB73" s="576"/>
      <c r="BC73" s="576"/>
      <c r="BD73" s="576"/>
      <c r="BE73" s="577"/>
    </row>
    <row r="74" spans="1:57" x14ac:dyDescent="0.2">
      <c r="A74" s="576"/>
      <c r="B74" s="98"/>
      <c r="C74" s="98"/>
      <c r="D74" s="98"/>
      <c r="E74" s="98"/>
      <c r="F74" s="98"/>
      <c r="G74" s="576"/>
      <c r="H74" s="576"/>
      <c r="I74" s="576"/>
      <c r="J74" s="576"/>
      <c r="K74" s="576"/>
      <c r="L74" s="576"/>
      <c r="M74" s="576"/>
      <c r="N74" s="576"/>
      <c r="O74" s="576"/>
      <c r="P74" s="576"/>
      <c r="Q74" s="576"/>
      <c r="R74" s="576"/>
      <c r="S74" s="576"/>
      <c r="T74" s="576"/>
      <c r="U74" s="576"/>
      <c r="V74" s="576"/>
      <c r="W74" s="576"/>
      <c r="X74" s="576"/>
      <c r="Y74" s="576"/>
      <c r="Z74" s="576"/>
      <c r="AA74" s="98"/>
      <c r="AB74" s="98"/>
      <c r="AC74" s="98"/>
      <c r="AD74" s="98"/>
      <c r="AE74" s="98"/>
      <c r="AF74" s="98"/>
      <c r="AG74" s="576"/>
      <c r="AH74" s="576"/>
      <c r="AI74" s="576"/>
      <c r="AJ74" s="576"/>
      <c r="AK74" s="576"/>
      <c r="AL74" s="576"/>
      <c r="AM74" s="576"/>
      <c r="AN74" s="576"/>
      <c r="AO74" s="576"/>
      <c r="AP74" s="576"/>
      <c r="AQ74" s="576"/>
      <c r="AR74" s="576"/>
      <c r="AS74" s="576"/>
      <c r="AT74" s="576"/>
      <c r="AU74" s="576"/>
      <c r="AV74" s="576"/>
      <c r="AW74" s="576"/>
      <c r="AX74" s="576"/>
      <c r="AY74" s="576"/>
      <c r="AZ74" s="576"/>
      <c r="BA74" s="576"/>
      <c r="BB74" s="576"/>
      <c r="BC74" s="576"/>
      <c r="BD74" s="576"/>
      <c r="BE74" s="577"/>
    </row>
    <row r="75" spans="1:57" x14ac:dyDescent="0.2">
      <c r="A75" s="576"/>
      <c r="B75" s="98"/>
      <c r="C75" s="98"/>
      <c r="D75" s="98"/>
      <c r="E75" s="98"/>
      <c r="F75" s="98"/>
      <c r="G75" s="576"/>
      <c r="H75" s="576"/>
      <c r="I75" s="576"/>
      <c r="J75" s="576"/>
      <c r="K75" s="576"/>
      <c r="L75" s="576"/>
      <c r="M75" s="576"/>
      <c r="N75" s="576"/>
      <c r="O75" s="576"/>
      <c r="P75" s="576"/>
      <c r="Q75" s="576"/>
      <c r="R75" s="576"/>
      <c r="S75" s="576"/>
      <c r="T75" s="576"/>
      <c r="U75" s="576"/>
      <c r="V75" s="576"/>
      <c r="W75" s="576"/>
      <c r="X75" s="576"/>
      <c r="Y75" s="576"/>
      <c r="Z75" s="576"/>
      <c r="AA75" s="98"/>
      <c r="AB75" s="98"/>
      <c r="AC75" s="98"/>
      <c r="AD75" s="98"/>
      <c r="AE75" s="98"/>
      <c r="AF75" s="98"/>
      <c r="AG75" s="576"/>
      <c r="AH75" s="576"/>
      <c r="AI75" s="576"/>
      <c r="AJ75" s="576"/>
      <c r="AK75" s="576"/>
      <c r="AL75" s="576"/>
      <c r="AM75" s="576"/>
      <c r="AN75" s="576"/>
      <c r="AO75" s="576"/>
      <c r="AP75" s="576"/>
      <c r="AQ75" s="576"/>
      <c r="AR75" s="576"/>
      <c r="AS75" s="576"/>
      <c r="AT75" s="576"/>
      <c r="AU75" s="576"/>
      <c r="AV75" s="576"/>
      <c r="AW75" s="576"/>
      <c r="AX75" s="576"/>
      <c r="AY75" s="576"/>
      <c r="AZ75" s="576"/>
      <c r="BA75" s="576"/>
      <c r="BB75" s="576"/>
      <c r="BC75" s="576"/>
      <c r="BD75" s="576"/>
      <c r="BE75" s="577"/>
    </row>
    <row r="76" spans="1:57" x14ac:dyDescent="0.2">
      <c r="A76" s="579"/>
      <c r="B76" s="100"/>
      <c r="C76" s="100"/>
      <c r="D76" s="100"/>
      <c r="E76" s="100"/>
      <c r="F76" s="100"/>
      <c r="G76" s="579"/>
      <c r="H76" s="579"/>
      <c r="I76" s="579"/>
      <c r="J76" s="579"/>
      <c r="K76" s="579"/>
      <c r="L76" s="579"/>
      <c r="M76" s="579"/>
      <c r="N76" s="579"/>
      <c r="O76" s="579"/>
      <c r="P76" s="579"/>
      <c r="Q76" s="579"/>
      <c r="R76" s="579"/>
      <c r="S76" s="579"/>
      <c r="T76" s="579"/>
      <c r="U76" s="579"/>
      <c r="V76" s="579"/>
      <c r="W76" s="579"/>
      <c r="X76" s="579"/>
      <c r="Y76" s="579"/>
      <c r="Z76" s="579"/>
      <c r="AA76" s="100"/>
      <c r="AB76" s="100"/>
      <c r="AC76" s="100"/>
      <c r="AD76" s="100"/>
      <c r="AE76" s="100"/>
      <c r="AF76" s="100"/>
      <c r="AG76" s="579"/>
      <c r="AH76" s="579"/>
      <c r="AI76" s="579"/>
      <c r="AJ76" s="579"/>
      <c r="AK76" s="579"/>
      <c r="AL76" s="579"/>
      <c r="AM76" s="579"/>
      <c r="AN76" s="579"/>
      <c r="AO76" s="579"/>
      <c r="AP76" s="579"/>
      <c r="AQ76" s="579"/>
      <c r="AR76" s="579"/>
      <c r="AS76" s="579"/>
      <c r="AT76" s="579"/>
      <c r="AU76" s="579"/>
      <c r="AV76" s="579"/>
      <c r="AW76" s="579"/>
      <c r="AX76" s="579"/>
      <c r="AY76" s="579"/>
      <c r="AZ76" s="579"/>
      <c r="BA76" s="579"/>
      <c r="BB76" s="579"/>
      <c r="BC76" s="579"/>
      <c r="BD76" s="579"/>
      <c r="BE76" s="580"/>
    </row>
  </sheetData>
  <sheetProtection algorithmName="SHA-512" hashValue="xjdmbodV77Gv5rEon6G1/TEKA73ogIf6LD+ySQRJg09YqHw/SB/pDE7bRTAGsyUtn0EXL0jnnxhC7BAUczEqqw==" saltValue="uDSLPIL/+UYkZ87+rFwVMQ==" spinCount="100000" sheet="1" selectLockedCells="1"/>
  <dataConsolidate link="1"/>
  <conditionalFormatting sqref="G4:Z4 G7:Z8">
    <cfRule type="notContainsBlanks" dxfId="0" priority="1">
      <formula>LEN(TRIM(G4))&gt;0</formula>
    </cfRule>
  </conditionalFormatting>
  <dataValidations count="1">
    <dataValidation type="whole" allowBlank="1" showInputMessage="1" showErrorMessage="1" errorTitle="Attenzione" error="Il servizio deve avere una durata minima di 1 mese e una durata massima di 48 mesi" sqref="G4:Z4" xr:uid="{00000000-0002-0000-1D00-000000000000}">
      <formula1>1</formula1>
      <formula2>48</formula2>
    </dataValidation>
  </dataValidations>
  <pageMargins left="0.7" right="0.7" top="0.75" bottom="0.75" header="0.3" footer="0.3"/>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6">
    <tabColor rgb="FFFFFF00"/>
  </sheetPr>
  <dimension ref="A1:M46"/>
  <sheetViews>
    <sheetView zoomScale="110" zoomScaleNormal="110" workbookViewId="0">
      <selection activeCell="G15" sqref="G15"/>
    </sheetView>
  </sheetViews>
  <sheetFormatPr defaultRowHeight="15" x14ac:dyDescent="0.25"/>
  <cols>
    <col min="1" max="1" width="23.140625" customWidth="1"/>
    <col min="2" max="2" width="32.42578125" customWidth="1"/>
    <col min="3" max="3" width="2.42578125" customWidth="1"/>
    <col min="4" max="4" width="33.42578125" customWidth="1"/>
    <col min="8" max="8" width="2.7109375" customWidth="1"/>
    <col min="9" max="9" width="6.85546875" style="2" customWidth="1"/>
    <col min="10" max="10" width="1.28515625" customWidth="1"/>
    <col min="11" max="11" width="8.42578125" style="2" bestFit="1" customWidth="1"/>
    <col min="12" max="12" width="1.28515625" customWidth="1"/>
    <col min="13" max="13" width="8.28515625" style="2" bestFit="1" customWidth="1"/>
  </cols>
  <sheetData>
    <row r="1" spans="1:13" ht="15.75" thickBot="1" x14ac:dyDescent="0.3">
      <c r="A1" s="493" t="s">
        <v>139</v>
      </c>
      <c r="B1" s="494"/>
      <c r="C1" s="494"/>
      <c r="D1" s="494"/>
      <c r="E1" s="494"/>
      <c r="F1" s="494"/>
      <c r="G1" s="494"/>
      <c r="H1" s="494"/>
      <c r="I1" s="494"/>
      <c r="J1" s="494"/>
      <c r="K1" s="438" t="s">
        <v>1260</v>
      </c>
      <c r="M1" s="438" t="s">
        <v>1260</v>
      </c>
    </row>
    <row r="2" spans="1:13" ht="90.75" thickBot="1" x14ac:dyDescent="0.3">
      <c r="A2" s="438" t="s">
        <v>12</v>
      </c>
      <c r="B2" s="439" t="s">
        <v>1237</v>
      </c>
      <c r="C2" s="439" t="s">
        <v>9</v>
      </c>
      <c r="D2" s="440" t="s">
        <v>10</v>
      </c>
      <c r="E2" s="439" t="s">
        <v>51</v>
      </c>
      <c r="F2" s="439" t="s">
        <v>52</v>
      </c>
      <c r="G2" s="439" t="s">
        <v>49</v>
      </c>
      <c r="I2" s="421" t="s">
        <v>50</v>
      </c>
      <c r="K2" s="514" t="s">
        <v>1357</v>
      </c>
      <c r="L2" s="106"/>
      <c r="M2" s="514" t="s">
        <v>1358</v>
      </c>
    </row>
    <row r="3" spans="1:13" ht="15" customHeight="1" thickBot="1" x14ac:dyDescent="0.3">
      <c r="A3" s="499" t="s">
        <v>53</v>
      </c>
      <c r="B3" s="9" t="s">
        <v>58</v>
      </c>
      <c r="C3" s="10">
        <v>1</v>
      </c>
      <c r="D3" s="11" t="s">
        <v>27</v>
      </c>
      <c r="E3" s="12" t="s">
        <v>33</v>
      </c>
      <c r="F3" s="15">
        <v>2.105</v>
      </c>
      <c r="G3" s="13">
        <v>0.75</v>
      </c>
      <c r="I3" s="5" t="s">
        <v>25</v>
      </c>
      <c r="K3" s="61">
        <v>0.67</v>
      </c>
      <c r="M3" s="61">
        <v>0.52</v>
      </c>
    </row>
    <row r="4" spans="1:13" ht="24.75" thickBot="1" x14ac:dyDescent="0.3">
      <c r="A4" s="500"/>
      <c r="B4" s="9" t="s">
        <v>58</v>
      </c>
      <c r="C4" s="10">
        <v>2</v>
      </c>
      <c r="D4" s="11" t="s">
        <v>28</v>
      </c>
      <c r="E4" s="12" t="s">
        <v>34</v>
      </c>
      <c r="F4" s="16">
        <v>1.625</v>
      </c>
      <c r="G4" s="13">
        <v>0.75</v>
      </c>
      <c r="I4" s="5" t="s">
        <v>25</v>
      </c>
      <c r="K4" s="61">
        <v>0.67</v>
      </c>
      <c r="M4" s="61">
        <v>0.66500000000000004</v>
      </c>
    </row>
    <row r="5" spans="1:13" ht="24.75" thickBot="1" x14ac:dyDescent="0.3">
      <c r="A5" s="500"/>
      <c r="B5" s="9" t="s">
        <v>58</v>
      </c>
      <c r="C5" s="10">
        <v>3</v>
      </c>
      <c r="D5" s="11" t="s">
        <v>29</v>
      </c>
      <c r="E5" s="12" t="s">
        <v>35</v>
      </c>
      <c r="F5" s="16">
        <v>1.78</v>
      </c>
      <c r="G5" s="13">
        <v>0.75</v>
      </c>
      <c r="I5" s="5" t="s">
        <v>25</v>
      </c>
      <c r="K5" s="61">
        <v>0.67</v>
      </c>
      <c r="M5" s="61">
        <v>0.51500000000000001</v>
      </c>
    </row>
    <row r="6" spans="1:13" ht="15.75" thickBot="1" x14ac:dyDescent="0.3">
      <c r="A6" s="500"/>
      <c r="B6" s="9" t="s">
        <v>58</v>
      </c>
      <c r="C6" s="10">
        <v>4</v>
      </c>
      <c r="D6" s="11" t="s">
        <v>185</v>
      </c>
      <c r="E6" s="12" t="s">
        <v>36</v>
      </c>
      <c r="F6" s="16">
        <v>0.66500000000000004</v>
      </c>
      <c r="G6" s="13">
        <v>0.75</v>
      </c>
      <c r="I6" s="5" t="s">
        <v>25</v>
      </c>
      <c r="K6" s="61">
        <v>0.67</v>
      </c>
      <c r="M6" s="61">
        <v>0.5</v>
      </c>
    </row>
    <row r="7" spans="1:13" ht="15.75" thickBot="1" x14ac:dyDescent="0.3">
      <c r="A7" s="500"/>
      <c r="B7" s="9" t="s">
        <v>58</v>
      </c>
      <c r="C7" s="10">
        <v>5</v>
      </c>
      <c r="D7" s="11" t="s">
        <v>32</v>
      </c>
      <c r="E7" s="12" t="s">
        <v>37</v>
      </c>
      <c r="F7" s="16">
        <v>0.45</v>
      </c>
      <c r="G7" s="13">
        <v>0.75</v>
      </c>
      <c r="I7" s="5" t="s">
        <v>25</v>
      </c>
      <c r="K7" s="61">
        <v>0.67</v>
      </c>
      <c r="M7" s="61">
        <v>0.5</v>
      </c>
    </row>
    <row r="8" spans="1:13" ht="15.75" thickBot="1" x14ac:dyDescent="0.3">
      <c r="A8" s="500"/>
      <c r="B8" s="9" t="s">
        <v>58</v>
      </c>
      <c r="C8" s="10">
        <v>6</v>
      </c>
      <c r="D8" s="11" t="s">
        <v>31</v>
      </c>
      <c r="E8" s="12" t="s">
        <v>38</v>
      </c>
      <c r="F8" s="16">
        <v>0.73</v>
      </c>
      <c r="G8" s="13">
        <v>0.75</v>
      </c>
      <c r="I8" s="5" t="s">
        <v>25</v>
      </c>
      <c r="K8" s="61">
        <v>7.0000000000000007E-2</v>
      </c>
      <c r="M8" s="61">
        <v>0.55000000000000004</v>
      </c>
    </row>
    <row r="9" spans="1:13" ht="15.75" thickBot="1" x14ac:dyDescent="0.3">
      <c r="A9" s="500"/>
      <c r="B9" s="9" t="s">
        <v>58</v>
      </c>
      <c r="C9" s="10">
        <v>7</v>
      </c>
      <c r="D9" s="11" t="s">
        <v>30</v>
      </c>
      <c r="E9" s="12" t="s">
        <v>39</v>
      </c>
      <c r="F9" s="16">
        <v>0.39500000000000002</v>
      </c>
      <c r="G9" s="13">
        <v>0.75</v>
      </c>
      <c r="I9" s="5" t="s">
        <v>25</v>
      </c>
      <c r="K9" s="61">
        <v>7.0000000000000007E-2</v>
      </c>
      <c r="M9" s="61">
        <v>0.45</v>
      </c>
    </row>
    <row r="10" spans="1:13" ht="35.1" customHeight="1" thickBot="1" x14ac:dyDescent="0.3">
      <c r="A10" s="500"/>
      <c r="B10" s="9" t="s">
        <v>54</v>
      </c>
      <c r="C10" s="10">
        <v>8</v>
      </c>
      <c r="D10" s="11" t="s">
        <v>209</v>
      </c>
      <c r="E10" s="12" t="s">
        <v>42</v>
      </c>
      <c r="F10" s="16">
        <v>2.3530000000000002</v>
      </c>
      <c r="G10" s="17">
        <v>0.9</v>
      </c>
      <c r="I10" s="5" t="s">
        <v>26</v>
      </c>
      <c r="K10" s="61">
        <v>0.42</v>
      </c>
      <c r="M10" s="61">
        <v>0.56000000000000005</v>
      </c>
    </row>
    <row r="11" spans="1:13" ht="48.75" thickBot="1" x14ac:dyDescent="0.3">
      <c r="A11" s="500"/>
      <c r="B11" s="9" t="s">
        <v>54</v>
      </c>
      <c r="C11" s="10">
        <v>9</v>
      </c>
      <c r="D11" s="11" t="s">
        <v>210</v>
      </c>
      <c r="E11" s="12" t="s">
        <v>43</v>
      </c>
      <c r="F11" s="16">
        <v>1.18</v>
      </c>
      <c r="G11" s="17">
        <v>0.9</v>
      </c>
      <c r="I11" s="5" t="s">
        <v>26</v>
      </c>
      <c r="K11" s="61">
        <v>0.42</v>
      </c>
      <c r="M11" s="61">
        <v>0.53</v>
      </c>
    </row>
    <row r="12" spans="1:13" ht="36.75" thickBot="1" x14ac:dyDescent="0.3">
      <c r="A12" s="500"/>
      <c r="B12" s="9" t="s">
        <v>54</v>
      </c>
      <c r="C12" s="10">
        <v>10</v>
      </c>
      <c r="D12" s="11" t="s">
        <v>211</v>
      </c>
      <c r="E12" s="12" t="s">
        <v>44</v>
      </c>
      <c r="F12" s="16">
        <v>0.248</v>
      </c>
      <c r="G12" s="17">
        <v>0.9</v>
      </c>
      <c r="I12" s="5" t="s">
        <v>26</v>
      </c>
      <c r="K12" s="61">
        <v>0.42</v>
      </c>
      <c r="M12" s="61">
        <v>0.32</v>
      </c>
    </row>
    <row r="13" spans="1:13" ht="36.75" thickBot="1" x14ac:dyDescent="0.3">
      <c r="A13" s="19"/>
      <c r="B13" s="9" t="s">
        <v>54</v>
      </c>
      <c r="C13" s="10">
        <v>11</v>
      </c>
      <c r="D13" s="11" t="s">
        <v>212</v>
      </c>
      <c r="E13" s="12" t="s">
        <v>47</v>
      </c>
      <c r="F13" s="16">
        <v>0.28699999999999998</v>
      </c>
      <c r="G13" s="17">
        <v>0.9</v>
      </c>
      <c r="I13" s="5" t="s">
        <v>26</v>
      </c>
      <c r="K13" s="61">
        <v>0.42</v>
      </c>
      <c r="M13" s="61">
        <v>0.5</v>
      </c>
    </row>
    <row r="14" spans="1:13" ht="15.75" thickBot="1" x14ac:dyDescent="0.3">
      <c r="A14" s="499" t="s">
        <v>55</v>
      </c>
      <c r="B14" s="501" t="s">
        <v>225</v>
      </c>
      <c r="C14" s="12">
        <v>12</v>
      </c>
      <c r="D14" s="11" t="s">
        <v>213</v>
      </c>
      <c r="E14" s="12" t="s">
        <v>13</v>
      </c>
      <c r="F14" s="16">
        <v>4.8710000000000004</v>
      </c>
      <c r="G14" s="17">
        <v>0.4</v>
      </c>
      <c r="I14" s="4" t="s">
        <v>25</v>
      </c>
      <c r="K14" s="61">
        <v>0.47</v>
      </c>
      <c r="M14" s="61">
        <v>0.61370000000000002</v>
      </c>
    </row>
    <row r="15" spans="1:13" ht="15.75" thickBot="1" x14ac:dyDescent="0.3">
      <c r="A15" s="500"/>
      <c r="B15" s="502"/>
      <c r="C15" s="12">
        <v>13</v>
      </c>
      <c r="D15" s="11" t="s">
        <v>214</v>
      </c>
      <c r="E15" s="12" t="s">
        <v>14</v>
      </c>
      <c r="F15" s="16">
        <v>1.4279999999999999</v>
      </c>
      <c r="G15" s="17">
        <v>0.4</v>
      </c>
      <c r="I15" s="4" t="s">
        <v>25</v>
      </c>
      <c r="K15" s="61">
        <v>0.37</v>
      </c>
      <c r="M15" s="61">
        <v>0.59530000000000005</v>
      </c>
    </row>
    <row r="16" spans="1:13" ht="15.75" thickBot="1" x14ac:dyDescent="0.3">
      <c r="A16" s="500"/>
      <c r="B16" s="502"/>
      <c r="C16" s="12">
        <v>14</v>
      </c>
      <c r="D16" s="11" t="s">
        <v>215</v>
      </c>
      <c r="E16" s="12" t="s">
        <v>15</v>
      </c>
      <c r="F16" s="16">
        <v>0.58199999999999996</v>
      </c>
      <c r="G16" s="17">
        <v>0.4</v>
      </c>
      <c r="I16" s="4" t="s">
        <v>25</v>
      </c>
      <c r="K16" s="61">
        <v>0.17</v>
      </c>
      <c r="M16" s="61">
        <v>0.50429999999999997</v>
      </c>
    </row>
    <row r="17" spans="1:13" ht="15.75" thickBot="1" x14ac:dyDescent="0.3">
      <c r="A17" s="500"/>
      <c r="B17" s="502"/>
      <c r="C17" s="12">
        <v>15</v>
      </c>
      <c r="D17" s="11" t="s">
        <v>216</v>
      </c>
      <c r="E17" s="12" t="s">
        <v>16</v>
      </c>
      <c r="F17" s="16">
        <v>0.34899999999999998</v>
      </c>
      <c r="G17" s="17">
        <v>0.4</v>
      </c>
      <c r="I17" s="4" t="s">
        <v>25</v>
      </c>
      <c r="K17" s="61">
        <v>0.47</v>
      </c>
      <c r="M17" s="61">
        <v>0.62409999999999999</v>
      </c>
    </row>
    <row r="18" spans="1:13" ht="35.450000000000003" customHeight="1" thickBot="1" x14ac:dyDescent="0.3">
      <c r="A18" s="500"/>
      <c r="B18" s="502"/>
      <c r="C18" s="499">
        <v>16</v>
      </c>
      <c r="D18" s="11" t="s">
        <v>217</v>
      </c>
      <c r="E18" s="499" t="s">
        <v>17</v>
      </c>
      <c r="F18" s="504">
        <v>0.19</v>
      </c>
      <c r="G18" s="506">
        <v>0.4</v>
      </c>
      <c r="I18" s="496" t="s">
        <v>25</v>
      </c>
      <c r="K18" s="61">
        <v>0.56999999999999995</v>
      </c>
      <c r="M18" s="61">
        <v>0.2293</v>
      </c>
    </row>
    <row r="19" spans="1:13" ht="15.75" thickBot="1" x14ac:dyDescent="0.3">
      <c r="A19" s="500"/>
      <c r="B19" s="502"/>
      <c r="C19" s="500"/>
      <c r="D19" s="11" t="s">
        <v>218</v>
      </c>
      <c r="E19" s="500"/>
      <c r="F19" s="505"/>
      <c r="G19" s="507"/>
      <c r="I19" s="497"/>
      <c r="K19" s="61">
        <v>0.56999999999999995</v>
      </c>
      <c r="M19" s="61">
        <v>0.2293</v>
      </c>
    </row>
    <row r="20" spans="1:13" ht="15.75" thickBot="1" x14ac:dyDescent="0.3">
      <c r="A20" s="500"/>
      <c r="B20" s="502"/>
      <c r="C20" s="500"/>
      <c r="D20" s="11" t="s">
        <v>219</v>
      </c>
      <c r="E20" s="500"/>
      <c r="F20" s="505"/>
      <c r="G20" s="507"/>
      <c r="I20" s="497"/>
      <c r="K20" s="61">
        <v>0.56999999999999995</v>
      </c>
      <c r="M20" s="61">
        <v>0.2293</v>
      </c>
    </row>
    <row r="21" spans="1:13" ht="25.5" customHeight="1" thickBot="1" x14ac:dyDescent="0.3">
      <c r="A21" s="500"/>
      <c r="B21" s="502"/>
      <c r="C21" s="500"/>
      <c r="D21" s="11" t="s">
        <v>220</v>
      </c>
      <c r="E21" s="500"/>
      <c r="F21" s="505"/>
      <c r="G21" s="507"/>
      <c r="I21" s="497"/>
      <c r="K21" s="61">
        <v>0.56999999999999995</v>
      </c>
      <c r="M21" s="61">
        <v>0.2293</v>
      </c>
    </row>
    <row r="22" spans="1:13" ht="15.75" thickBot="1" x14ac:dyDescent="0.3">
      <c r="A22" s="500"/>
      <c r="B22" s="502"/>
      <c r="C22" s="500"/>
      <c r="D22" s="11" t="s">
        <v>221</v>
      </c>
      <c r="E22" s="500"/>
      <c r="F22" s="505"/>
      <c r="G22" s="507"/>
      <c r="I22" s="497"/>
      <c r="K22" s="61">
        <v>0.56999999999999995</v>
      </c>
      <c r="M22" s="61">
        <v>0.2293</v>
      </c>
    </row>
    <row r="23" spans="1:13" ht="15.75" thickBot="1" x14ac:dyDescent="0.3">
      <c r="A23" s="500"/>
      <c r="B23" s="502"/>
      <c r="C23" s="500"/>
      <c r="D23" s="11" t="s">
        <v>222</v>
      </c>
      <c r="E23" s="500"/>
      <c r="F23" s="505"/>
      <c r="G23" s="507"/>
      <c r="I23" s="497"/>
      <c r="K23" s="61">
        <v>0.56999999999999995</v>
      </c>
      <c r="M23" s="61">
        <v>0.2293</v>
      </c>
    </row>
    <row r="24" spans="1:13" ht="21.6" customHeight="1" thickBot="1" x14ac:dyDescent="0.3">
      <c r="A24" s="500"/>
      <c r="B24" s="502"/>
      <c r="C24" s="19"/>
      <c r="D24" s="11" t="s">
        <v>223</v>
      </c>
      <c r="E24" s="19"/>
      <c r="F24" s="20"/>
      <c r="G24" s="508"/>
      <c r="I24" s="498"/>
      <c r="K24" s="61">
        <v>0.56999999999999995</v>
      </c>
      <c r="M24" s="61">
        <v>0.2293</v>
      </c>
    </row>
    <row r="25" spans="1:13" ht="24.75" thickBot="1" x14ac:dyDescent="0.3">
      <c r="A25" s="500"/>
      <c r="B25" s="503"/>
      <c r="C25" s="12">
        <v>17</v>
      </c>
      <c r="D25" s="11" t="s">
        <v>224</v>
      </c>
      <c r="E25" s="12" t="s">
        <v>18</v>
      </c>
      <c r="F25" s="16">
        <v>0.157</v>
      </c>
      <c r="G25" s="17">
        <v>0.4</v>
      </c>
      <c r="I25" s="4" t="s">
        <v>25</v>
      </c>
      <c r="K25" s="61">
        <v>7.0000000000000007E-2</v>
      </c>
      <c r="M25" s="61">
        <v>0.62529999999999997</v>
      </c>
    </row>
    <row r="26" spans="1:13" ht="26.45" customHeight="1" thickBot="1" x14ac:dyDescent="0.3">
      <c r="A26" s="500"/>
      <c r="B26" s="501" t="s">
        <v>186</v>
      </c>
      <c r="C26" s="12">
        <v>18</v>
      </c>
      <c r="D26" s="11" t="s">
        <v>226</v>
      </c>
      <c r="E26" s="12" t="s">
        <v>19</v>
      </c>
      <c r="F26" s="16">
        <v>0.105</v>
      </c>
      <c r="G26" s="17">
        <v>0.4</v>
      </c>
      <c r="H26" s="495"/>
      <c r="I26" s="4" t="s">
        <v>25</v>
      </c>
      <c r="J26" s="495"/>
      <c r="K26" s="61">
        <v>0.8</v>
      </c>
      <c r="L26" s="512"/>
      <c r="M26" s="61">
        <v>0.2</v>
      </c>
    </row>
    <row r="27" spans="1:13" ht="24.75" thickBot="1" x14ac:dyDescent="0.3">
      <c r="A27" s="500"/>
      <c r="B27" s="503"/>
      <c r="C27" s="12">
        <v>19</v>
      </c>
      <c r="D27" s="11" t="s">
        <v>227</v>
      </c>
      <c r="E27" s="12" t="s">
        <v>20</v>
      </c>
      <c r="F27" s="16">
        <v>0.40300000000000002</v>
      </c>
      <c r="G27" s="17">
        <v>0.4</v>
      </c>
      <c r="H27" s="495"/>
      <c r="I27" s="4" t="s">
        <v>25</v>
      </c>
      <c r="J27" s="495"/>
      <c r="K27" s="61">
        <v>7.0000000000000007E-2</v>
      </c>
      <c r="L27" s="512"/>
      <c r="M27" s="61">
        <v>0.6</v>
      </c>
    </row>
    <row r="28" spans="1:13" ht="24.6" customHeight="1" thickBot="1" x14ac:dyDescent="0.3">
      <c r="A28" s="19"/>
      <c r="B28" s="63" t="s">
        <v>54</v>
      </c>
      <c r="C28" s="12">
        <v>20</v>
      </c>
      <c r="D28" s="11" t="s">
        <v>228</v>
      </c>
      <c r="E28" s="12" t="s">
        <v>56</v>
      </c>
      <c r="F28" s="16">
        <v>0.35199999999999998</v>
      </c>
      <c r="G28" s="17">
        <v>0.4</v>
      </c>
      <c r="I28" s="3" t="s">
        <v>26</v>
      </c>
      <c r="K28" s="61">
        <v>0.27</v>
      </c>
      <c r="M28" s="61">
        <v>0.6</v>
      </c>
    </row>
    <row r="29" spans="1:13" ht="15" customHeight="1" thickBot="1" x14ac:dyDescent="0.3">
      <c r="A29" s="499" t="s">
        <v>57</v>
      </c>
      <c r="B29" s="11" t="s">
        <v>58</v>
      </c>
      <c r="C29" s="12">
        <v>21</v>
      </c>
      <c r="D29" s="11" t="s">
        <v>57</v>
      </c>
      <c r="E29" s="12" t="s">
        <v>21</v>
      </c>
      <c r="F29" s="66">
        <v>0.47</v>
      </c>
      <c r="G29" s="13">
        <v>0.65</v>
      </c>
      <c r="I29" s="5" t="s">
        <v>25</v>
      </c>
      <c r="K29" s="61">
        <v>0.27</v>
      </c>
      <c r="M29" s="61">
        <v>0.6</v>
      </c>
    </row>
    <row r="30" spans="1:13" ht="24.75" thickBot="1" x14ac:dyDescent="0.3">
      <c r="A30" s="500"/>
      <c r="B30" s="11" t="s">
        <v>186</v>
      </c>
      <c r="C30" s="12">
        <v>22</v>
      </c>
      <c r="D30" s="11" t="s">
        <v>59</v>
      </c>
      <c r="E30" s="12" t="s">
        <v>22</v>
      </c>
      <c r="F30" s="66">
        <v>0.05</v>
      </c>
      <c r="G30" s="13">
        <v>0.65</v>
      </c>
      <c r="I30" s="5" t="s">
        <v>25</v>
      </c>
      <c r="K30" s="61">
        <v>0.87</v>
      </c>
      <c r="M30" s="61">
        <v>0.6</v>
      </c>
    </row>
    <row r="31" spans="1:13" ht="24.6" customHeight="1" thickBot="1" x14ac:dyDescent="0.3">
      <c r="A31" s="19"/>
      <c r="B31" s="63" t="s">
        <v>54</v>
      </c>
      <c r="C31" s="12">
        <v>23</v>
      </c>
      <c r="D31" s="11" t="s">
        <v>60</v>
      </c>
      <c r="E31" s="12" t="s">
        <v>131</v>
      </c>
      <c r="F31" s="66">
        <v>6.8000000000000005E-2</v>
      </c>
      <c r="G31" s="13">
        <v>0.65</v>
      </c>
      <c r="I31" s="5" t="s">
        <v>26</v>
      </c>
      <c r="K31" s="61">
        <v>0.87</v>
      </c>
      <c r="M31" s="61">
        <v>0.6</v>
      </c>
    </row>
    <row r="32" spans="1:13" ht="24.75" thickBot="1" x14ac:dyDescent="0.3">
      <c r="A32" s="499" t="s">
        <v>231</v>
      </c>
      <c r="B32" s="11" t="s">
        <v>58</v>
      </c>
      <c r="C32" s="12">
        <v>24</v>
      </c>
      <c r="D32" s="11" t="s">
        <v>229</v>
      </c>
      <c r="E32" s="12" t="s">
        <v>46</v>
      </c>
      <c r="F32" s="16">
        <v>0.30499999999999999</v>
      </c>
      <c r="G32" s="13">
        <v>0.65</v>
      </c>
      <c r="I32" s="5" t="s">
        <v>25</v>
      </c>
      <c r="K32" s="61">
        <v>0.47</v>
      </c>
      <c r="M32" s="61">
        <v>0.5</v>
      </c>
    </row>
    <row r="33" spans="1:13" ht="24.75" thickBot="1" x14ac:dyDescent="0.3">
      <c r="A33" s="19"/>
      <c r="B33" s="11" t="s">
        <v>54</v>
      </c>
      <c r="C33" s="12">
        <v>25</v>
      </c>
      <c r="D33" s="11" t="s">
        <v>230</v>
      </c>
      <c r="E33" s="12" t="s">
        <v>45</v>
      </c>
      <c r="F33" s="16">
        <v>0.2</v>
      </c>
      <c r="G33" s="13">
        <v>0.65</v>
      </c>
      <c r="I33" s="5" t="s">
        <v>26</v>
      </c>
      <c r="K33" s="61">
        <v>0.87</v>
      </c>
      <c r="M33" s="61">
        <v>0.5</v>
      </c>
    </row>
    <row r="34" spans="1:13" ht="15.75" thickBot="1" x14ac:dyDescent="0.3">
      <c r="A34" s="499" t="s">
        <v>182</v>
      </c>
      <c r="B34" s="11" t="s">
        <v>58</v>
      </c>
      <c r="C34" s="12">
        <v>26</v>
      </c>
      <c r="D34" s="11" t="s">
        <v>182</v>
      </c>
      <c r="E34" s="12" t="s">
        <v>23</v>
      </c>
      <c r="F34" s="16">
        <v>0.53</v>
      </c>
      <c r="G34" s="13">
        <v>0.65</v>
      </c>
      <c r="I34" s="5" t="s">
        <v>25</v>
      </c>
      <c r="K34" s="61">
        <v>0.37</v>
      </c>
      <c r="M34" s="61">
        <v>0.45</v>
      </c>
    </row>
    <row r="35" spans="1:13" ht="34.5" customHeight="1" thickBot="1" x14ac:dyDescent="0.3">
      <c r="A35" s="19"/>
      <c r="B35" s="11" t="s">
        <v>54</v>
      </c>
      <c r="C35" s="12">
        <v>27</v>
      </c>
      <c r="D35" s="11" t="s">
        <v>232</v>
      </c>
      <c r="E35" s="12" t="s">
        <v>24</v>
      </c>
      <c r="F35" s="16">
        <v>0.126</v>
      </c>
      <c r="G35" s="17">
        <v>0.9</v>
      </c>
      <c r="I35" s="5" t="s">
        <v>26</v>
      </c>
      <c r="K35" s="61">
        <v>0.87</v>
      </c>
      <c r="M35" s="61">
        <v>0.45</v>
      </c>
    </row>
    <row r="36" spans="1:13" ht="15.75" thickBot="1" x14ac:dyDescent="0.3">
      <c r="A36" s="18" t="s">
        <v>61</v>
      </c>
      <c r="B36" s="9" t="s">
        <v>58</v>
      </c>
      <c r="C36" s="10">
        <v>28</v>
      </c>
      <c r="D36" s="11" t="s">
        <v>61</v>
      </c>
      <c r="E36" s="12" t="s">
        <v>7</v>
      </c>
      <c r="F36" s="16">
        <v>1.605</v>
      </c>
      <c r="G36" s="17">
        <v>0.4</v>
      </c>
      <c r="I36" s="5" t="s">
        <v>25</v>
      </c>
      <c r="K36" s="61">
        <v>0.37</v>
      </c>
      <c r="M36" s="61">
        <v>0.2</v>
      </c>
    </row>
    <row r="37" spans="1:13" ht="15.75" thickBot="1" x14ac:dyDescent="0.3">
      <c r="A37" s="18" t="s">
        <v>62</v>
      </c>
      <c r="B37" s="9" t="s">
        <v>58</v>
      </c>
      <c r="C37" s="10">
        <v>29</v>
      </c>
      <c r="D37" s="11" t="s">
        <v>62</v>
      </c>
      <c r="E37" s="12" t="s">
        <v>8</v>
      </c>
      <c r="F37" s="16">
        <v>0.51500000000000001</v>
      </c>
      <c r="G37" s="17">
        <v>0.4</v>
      </c>
      <c r="I37" s="5" t="s">
        <v>25</v>
      </c>
      <c r="K37" s="61">
        <v>7.0000000000000007E-2</v>
      </c>
      <c r="M37" s="61">
        <v>0.21</v>
      </c>
    </row>
    <row r="38" spans="1:13" ht="15.75" thickBot="1" x14ac:dyDescent="0.3">
      <c r="A38" s="509" t="s">
        <v>63</v>
      </c>
      <c r="B38" s="9" t="s">
        <v>58</v>
      </c>
      <c r="C38" s="10">
        <v>30</v>
      </c>
      <c r="D38" s="11" t="s">
        <v>233</v>
      </c>
      <c r="E38" s="12" t="s">
        <v>64</v>
      </c>
      <c r="F38" s="16">
        <v>0.34499999999999997</v>
      </c>
      <c r="G38" s="17">
        <v>0.4</v>
      </c>
      <c r="I38" s="5" t="s">
        <v>25</v>
      </c>
      <c r="K38" s="61">
        <v>7.0000000000000007E-2</v>
      </c>
      <c r="M38" s="61">
        <v>0.21</v>
      </c>
    </row>
    <row r="39" spans="1:13" ht="24.6" customHeight="1" thickBot="1" x14ac:dyDescent="0.3">
      <c r="A39" s="510"/>
      <c r="B39" s="9" t="s">
        <v>58</v>
      </c>
      <c r="C39" s="10">
        <v>31</v>
      </c>
      <c r="D39" s="11" t="s">
        <v>65</v>
      </c>
      <c r="E39" s="12" t="s">
        <v>66</v>
      </c>
      <c r="F39" s="16">
        <v>0.08</v>
      </c>
      <c r="G39" s="17">
        <v>0.9</v>
      </c>
      <c r="I39" s="5" t="s">
        <v>25</v>
      </c>
      <c r="K39" s="61">
        <v>7.0000000000000007E-2</v>
      </c>
      <c r="M39" s="61">
        <v>0.2</v>
      </c>
    </row>
    <row r="40" spans="1:13" ht="36.75" thickBot="1" x14ac:dyDescent="0.3">
      <c r="A40" s="510"/>
      <c r="B40" s="9" t="s">
        <v>54</v>
      </c>
      <c r="C40" s="10">
        <v>32</v>
      </c>
      <c r="D40" s="11" t="s">
        <v>234</v>
      </c>
      <c r="E40" s="12" t="s">
        <v>68</v>
      </c>
      <c r="F40" s="16">
        <v>0.30299999999999999</v>
      </c>
      <c r="G40" s="17">
        <v>0.9</v>
      </c>
      <c r="H40" s="511"/>
      <c r="I40" s="5" t="s">
        <v>26</v>
      </c>
      <c r="J40" s="511"/>
      <c r="K40" s="61">
        <v>0.87</v>
      </c>
      <c r="L40" s="513"/>
      <c r="M40" s="61">
        <v>0.2</v>
      </c>
    </row>
    <row r="41" spans="1:13" ht="24.75" thickBot="1" x14ac:dyDescent="0.3">
      <c r="A41" s="18"/>
      <c r="B41" s="9" t="s">
        <v>54</v>
      </c>
      <c r="C41" s="10">
        <v>33</v>
      </c>
      <c r="D41" s="11" t="s">
        <v>67</v>
      </c>
      <c r="E41" s="12" t="s">
        <v>132</v>
      </c>
      <c r="F41" s="16">
        <v>0.12</v>
      </c>
      <c r="G41" s="17">
        <v>0.9</v>
      </c>
      <c r="H41" s="511"/>
      <c r="I41" s="5" t="s">
        <v>26</v>
      </c>
      <c r="J41" s="511"/>
      <c r="K41" s="61">
        <v>0.87</v>
      </c>
      <c r="L41" s="513"/>
      <c r="M41" s="61">
        <v>0.2</v>
      </c>
    </row>
    <row r="42" spans="1:13" ht="15.75" thickBot="1" x14ac:dyDescent="0.3">
      <c r="A42" s="509" t="s">
        <v>69</v>
      </c>
      <c r="B42" s="9" t="s">
        <v>58</v>
      </c>
      <c r="C42" s="10">
        <v>34</v>
      </c>
      <c r="D42" s="11" t="s">
        <v>70</v>
      </c>
      <c r="E42" s="12" t="s">
        <v>71</v>
      </c>
      <c r="F42" s="16">
        <v>0.33500000000000002</v>
      </c>
      <c r="G42" s="13">
        <v>0.75</v>
      </c>
      <c r="I42" s="5" t="s">
        <v>25</v>
      </c>
      <c r="K42" s="61">
        <v>0.37</v>
      </c>
      <c r="M42" s="61">
        <v>0.59499999999999997</v>
      </c>
    </row>
    <row r="43" spans="1:13" ht="36.75" thickBot="1" x14ac:dyDescent="0.3">
      <c r="A43" s="18"/>
      <c r="B43" s="9" t="s">
        <v>54</v>
      </c>
      <c r="C43" s="10">
        <v>35</v>
      </c>
      <c r="D43" s="11" t="s">
        <v>235</v>
      </c>
      <c r="E43" s="12" t="s">
        <v>72</v>
      </c>
      <c r="F43" s="16">
        <v>0.26800000000000002</v>
      </c>
      <c r="G43" s="17">
        <v>0.9</v>
      </c>
      <c r="I43" s="5" t="s">
        <v>26</v>
      </c>
      <c r="K43" s="61">
        <v>0.4</v>
      </c>
      <c r="M43" s="61">
        <v>0.53</v>
      </c>
    </row>
    <row r="44" spans="1:13" ht="15.75" thickBot="1" x14ac:dyDescent="0.3">
      <c r="A44" s="509" t="s">
        <v>73</v>
      </c>
      <c r="B44" s="9" t="s">
        <v>58</v>
      </c>
      <c r="C44" s="10">
        <v>36</v>
      </c>
      <c r="D44" s="11" t="s">
        <v>237</v>
      </c>
      <c r="E44" s="12" t="s">
        <v>40</v>
      </c>
      <c r="F44" s="16">
        <v>1.5049999999999999</v>
      </c>
      <c r="G44" s="17">
        <v>0.4</v>
      </c>
      <c r="I44" s="5" t="s">
        <v>25</v>
      </c>
      <c r="K44" s="61">
        <v>0.27</v>
      </c>
      <c r="M44" s="61">
        <v>0.19</v>
      </c>
    </row>
    <row r="45" spans="1:13" ht="15.75" thickBot="1" x14ac:dyDescent="0.3">
      <c r="A45" s="18"/>
      <c r="B45" s="9" t="s">
        <v>58</v>
      </c>
      <c r="C45" s="10">
        <v>37</v>
      </c>
      <c r="D45" s="11" t="s">
        <v>238</v>
      </c>
      <c r="E45" s="12" t="s">
        <v>41</v>
      </c>
      <c r="F45" s="16">
        <v>1.5049999999999999</v>
      </c>
      <c r="G45" s="17">
        <v>0.4</v>
      </c>
      <c r="I45" s="5" t="s">
        <v>25</v>
      </c>
      <c r="K45" s="61">
        <v>0.17</v>
      </c>
      <c r="M45" s="61">
        <v>0.2</v>
      </c>
    </row>
    <row r="46" spans="1:13" ht="22.5" customHeight="1" thickBot="1" x14ac:dyDescent="0.3">
      <c r="A46" s="18" t="s">
        <v>11</v>
      </c>
      <c r="B46" s="9" t="s">
        <v>236</v>
      </c>
      <c r="C46" s="10">
        <v>38</v>
      </c>
      <c r="D46" s="11" t="s">
        <v>239</v>
      </c>
      <c r="E46" s="12" t="s">
        <v>48</v>
      </c>
      <c r="F46" s="16">
        <v>1.415</v>
      </c>
      <c r="G46" s="17">
        <v>0.4</v>
      </c>
      <c r="I46" s="5" t="s">
        <v>26</v>
      </c>
      <c r="K46" s="61">
        <v>0.37</v>
      </c>
      <c r="M46" s="61">
        <v>0.2</v>
      </c>
    </row>
  </sheetData>
  <autoFilter ref="A2:I46"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FFFF00"/>
  </sheetPr>
  <dimension ref="A1:P41"/>
  <sheetViews>
    <sheetView zoomScale="110" zoomScaleNormal="110" workbookViewId="0">
      <pane xSplit="2" ySplit="2" topLeftCell="C3" activePane="bottomRight" state="frozen"/>
      <selection activeCell="G15" sqref="G15"/>
      <selection pane="topRight" activeCell="G15" sqref="G15"/>
      <selection pane="bottomLeft" activeCell="G15" sqref="G15"/>
      <selection pane="bottomRight" activeCell="G15" sqref="G15"/>
    </sheetView>
  </sheetViews>
  <sheetFormatPr defaultRowHeight="15" x14ac:dyDescent="0.25"/>
  <cols>
    <col min="2" max="2" width="26" customWidth="1"/>
    <col min="4" max="4" width="62.42578125" customWidth="1"/>
    <col min="5" max="5" width="8.7109375" style="24"/>
    <col min="6" max="6" width="5" style="24" customWidth="1"/>
    <col min="7" max="7" width="4.85546875" style="24" customWidth="1"/>
    <col min="8" max="8" width="1.5703125" customWidth="1"/>
    <col min="9" max="10" width="14.140625" style="24" customWidth="1"/>
    <col min="11" max="11" width="1.5703125" customWidth="1"/>
    <col min="12" max="12" width="12" style="24" bestFit="1" customWidth="1"/>
    <col min="13" max="14" width="14.140625" style="24" customWidth="1"/>
    <col min="15" max="15" width="2.42578125" customWidth="1"/>
    <col min="16" max="16" width="17.28515625" customWidth="1"/>
    <col min="19" max="19" width="7.85546875" customWidth="1"/>
  </cols>
  <sheetData>
    <row r="1" spans="1:16" ht="15.75" thickBot="1" x14ac:dyDescent="0.3">
      <c r="A1" s="882" t="s">
        <v>138</v>
      </c>
      <c r="B1" s="883"/>
      <c r="C1" s="883"/>
      <c r="D1" s="883"/>
      <c r="E1" s="883"/>
      <c r="F1" s="883"/>
      <c r="G1" s="883"/>
      <c r="H1" s="883"/>
      <c r="I1" s="883"/>
      <c r="J1" s="884"/>
      <c r="L1" s="887" t="s">
        <v>139</v>
      </c>
      <c r="M1" s="888"/>
      <c r="N1" s="889"/>
    </row>
    <row r="2" spans="1:16" ht="42" thickBot="1" x14ac:dyDescent="0.3">
      <c r="A2" s="411" t="s">
        <v>74</v>
      </c>
      <c r="B2" s="412" t="s">
        <v>75</v>
      </c>
      <c r="C2" s="412" t="s">
        <v>76</v>
      </c>
      <c r="D2" s="412" t="s">
        <v>77</v>
      </c>
      <c r="E2" s="413" t="s">
        <v>1230</v>
      </c>
      <c r="F2" s="412" t="s">
        <v>80</v>
      </c>
      <c r="G2" s="412" t="s">
        <v>81</v>
      </c>
      <c r="I2" s="411" t="s">
        <v>1231</v>
      </c>
      <c r="J2" s="411" t="s">
        <v>1232</v>
      </c>
      <c r="L2" s="416" t="s">
        <v>1225</v>
      </c>
      <c r="M2" s="416" t="s">
        <v>1233</v>
      </c>
      <c r="N2" s="416" t="s">
        <v>1234</v>
      </c>
      <c r="P2" s="416" t="s">
        <v>1242</v>
      </c>
    </row>
    <row r="3" spans="1:16" ht="16.5" thickBot="1" x14ac:dyDescent="0.3">
      <c r="A3" s="879">
        <v>1</v>
      </c>
      <c r="B3" s="879" t="s">
        <v>82</v>
      </c>
      <c r="C3" s="21" t="s">
        <v>83</v>
      </c>
      <c r="D3" s="22" t="s">
        <v>84</v>
      </c>
      <c r="E3" s="33">
        <f>'Tabella PT'!J3</f>
        <v>2</v>
      </c>
      <c r="F3" s="80" t="s">
        <v>85</v>
      </c>
      <c r="G3" s="81"/>
      <c r="I3" s="94">
        <f>'Punteggi PT'!I4</f>
        <v>2</v>
      </c>
      <c r="J3" s="94">
        <f>'Punteggi PT'!J4</f>
        <v>2</v>
      </c>
      <c r="L3" s="427">
        <f>'Tabella PT'!X3</f>
        <v>2</v>
      </c>
      <c r="M3" s="428">
        <f>ROUND(I3,3)</f>
        <v>2</v>
      </c>
      <c r="N3" s="428">
        <f>ROUND(J3,3)</f>
        <v>2</v>
      </c>
      <c r="P3" s="426" t="s">
        <v>179</v>
      </c>
    </row>
    <row r="4" spans="1:16" ht="16.5" thickBot="1" x14ac:dyDescent="0.3">
      <c r="A4" s="881"/>
      <c r="B4" s="881"/>
      <c r="C4" s="21" t="s">
        <v>86</v>
      </c>
      <c r="D4" s="22" t="s">
        <v>87</v>
      </c>
      <c r="E4" s="33">
        <f>'Tabella PT'!J4</f>
        <v>2</v>
      </c>
      <c r="F4" s="82" t="s">
        <v>85</v>
      </c>
      <c r="G4" s="34"/>
      <c r="I4" s="94">
        <f>'Punteggi PT'!I5</f>
        <v>2</v>
      </c>
      <c r="J4" s="94">
        <f>'Punteggi PT'!J5</f>
        <v>2</v>
      </c>
      <c r="L4" s="427">
        <f>'Tabella PT'!X4</f>
        <v>2</v>
      </c>
      <c r="M4" s="428">
        <f t="shared" ref="M4:M8" si="0">ROUND(I4,3)</f>
        <v>2</v>
      </c>
      <c r="N4" s="428">
        <f t="shared" ref="N4:N8" si="1">ROUND(J4,3)</f>
        <v>2</v>
      </c>
      <c r="P4" s="62" t="s">
        <v>180</v>
      </c>
    </row>
    <row r="5" spans="1:16" ht="16.5" thickBot="1" x14ac:dyDescent="0.3">
      <c r="A5" s="881"/>
      <c r="B5" s="881"/>
      <c r="C5" s="21" t="s">
        <v>88</v>
      </c>
      <c r="D5" s="22" t="s">
        <v>89</v>
      </c>
      <c r="E5" s="33">
        <f>'Tabella PT'!J5</f>
        <v>2</v>
      </c>
      <c r="F5" s="82" t="s">
        <v>85</v>
      </c>
      <c r="G5" s="34"/>
      <c r="I5" s="94">
        <f>'Punteggi PT'!I6</f>
        <v>2</v>
      </c>
      <c r="J5" s="94">
        <f>'Punteggi PT'!J6</f>
        <v>2</v>
      </c>
      <c r="L5" s="427">
        <f>'Tabella PT'!X5</f>
        <v>2</v>
      </c>
      <c r="M5" s="428">
        <f t="shared" si="0"/>
        <v>2</v>
      </c>
      <c r="N5" s="428">
        <f t="shared" si="1"/>
        <v>2</v>
      </c>
    </row>
    <row r="6" spans="1:16" ht="16.5" thickBot="1" x14ac:dyDescent="0.3">
      <c r="A6" s="880"/>
      <c r="B6" s="880"/>
      <c r="C6" s="21" t="s">
        <v>90</v>
      </c>
      <c r="D6" s="22" t="s">
        <v>91</v>
      </c>
      <c r="E6" s="33">
        <f>'Tabella PT'!J6</f>
        <v>2</v>
      </c>
      <c r="F6" s="82" t="s">
        <v>85</v>
      </c>
      <c r="G6" s="34"/>
      <c r="I6" s="94">
        <f>'Punteggi PT'!I7</f>
        <v>2</v>
      </c>
      <c r="J6" s="94">
        <f>'Punteggi PT'!J7</f>
        <v>0</v>
      </c>
      <c r="L6" s="427">
        <f>'Tabella PT'!X6</f>
        <v>2</v>
      </c>
      <c r="M6" s="428">
        <f t="shared" si="0"/>
        <v>2</v>
      </c>
      <c r="N6" s="428">
        <f t="shared" si="1"/>
        <v>0</v>
      </c>
    </row>
    <row r="7" spans="1:16" ht="15.95" customHeight="1" thickBot="1" x14ac:dyDescent="0.3">
      <c r="A7" s="879">
        <v>2</v>
      </c>
      <c r="B7" s="879" t="s">
        <v>188</v>
      </c>
      <c r="C7" s="21" t="s">
        <v>92</v>
      </c>
      <c r="D7" s="22" t="s">
        <v>93</v>
      </c>
      <c r="E7" s="33">
        <f>'Tabella PT'!J7</f>
        <v>4.5</v>
      </c>
      <c r="F7" s="82" t="s">
        <v>85</v>
      </c>
      <c r="G7" s="34"/>
      <c r="I7" s="94">
        <f>'Punteggi PT'!I8</f>
        <v>2.7320000000000002</v>
      </c>
      <c r="J7" s="94">
        <f>'Punteggi PT'!J8</f>
        <v>2.7320000000000002</v>
      </c>
      <c r="L7" s="427">
        <f>'Tabella PT'!X7</f>
        <v>4.5</v>
      </c>
      <c r="M7" s="428">
        <f t="shared" si="0"/>
        <v>2.7320000000000002</v>
      </c>
      <c r="N7" s="428">
        <f t="shared" si="1"/>
        <v>2.7320000000000002</v>
      </c>
    </row>
    <row r="8" spans="1:16" ht="16.5" thickBot="1" x14ac:dyDescent="0.3">
      <c r="A8" s="880"/>
      <c r="B8" s="880"/>
      <c r="C8" s="21" t="s">
        <v>1159</v>
      </c>
      <c r="D8" s="22" t="s">
        <v>94</v>
      </c>
      <c r="E8" s="33">
        <f>'Tabella PT'!J8</f>
        <v>2.5</v>
      </c>
      <c r="F8" s="82" t="s">
        <v>85</v>
      </c>
      <c r="G8" s="34"/>
      <c r="I8" s="94">
        <f>'Punteggi PT'!I9</f>
        <v>2.21</v>
      </c>
      <c r="J8" s="94">
        <f>'Punteggi PT'!J9</f>
        <v>1.3280000000000001</v>
      </c>
      <c r="L8" s="427">
        <f>'Tabella PT'!X8</f>
        <v>2.5</v>
      </c>
      <c r="M8" s="428">
        <f t="shared" si="0"/>
        <v>2.21</v>
      </c>
      <c r="N8" s="428">
        <f t="shared" si="1"/>
        <v>1.3280000000000001</v>
      </c>
    </row>
    <row r="9" spans="1:16" ht="15.95" customHeight="1" thickBot="1" x14ac:dyDescent="0.3">
      <c r="A9" s="879">
        <v>3</v>
      </c>
      <c r="B9" s="879" t="s">
        <v>95</v>
      </c>
      <c r="C9" s="21" t="s">
        <v>96</v>
      </c>
      <c r="D9" s="22" t="s">
        <v>189</v>
      </c>
      <c r="E9" s="33">
        <f>'Tabella PT'!J9</f>
        <v>8.4</v>
      </c>
      <c r="F9" s="83"/>
      <c r="G9" s="35" t="s">
        <v>85</v>
      </c>
      <c r="I9" s="94">
        <f>'Punteggi PT'!I10</f>
        <v>8.4</v>
      </c>
      <c r="J9" s="94">
        <f>'Punteggi PT'!J10</f>
        <v>8.4</v>
      </c>
      <c r="L9" s="71">
        <f>'Tabella PT'!X9</f>
        <v>9.0749999999999993</v>
      </c>
      <c r="M9" s="90">
        <f>ROUND(I9/$E9*L9,3)</f>
        <v>9.0749999999999993</v>
      </c>
      <c r="N9" s="90">
        <f>ROUND(J9/$E9*$L9,3)</f>
        <v>9.0749999999999993</v>
      </c>
    </row>
    <row r="10" spans="1:16" ht="16.5" thickBot="1" x14ac:dyDescent="0.3">
      <c r="A10" s="881"/>
      <c r="B10" s="881"/>
      <c r="C10" s="21" t="s">
        <v>97</v>
      </c>
      <c r="D10" s="22" t="s">
        <v>164</v>
      </c>
      <c r="E10" s="33">
        <f>'Tabella PT'!J10</f>
        <v>0.65</v>
      </c>
      <c r="F10" s="83"/>
      <c r="G10" s="35" t="s">
        <v>85</v>
      </c>
      <c r="I10" s="94">
        <f>'Punteggi PT'!I11</f>
        <v>0.65</v>
      </c>
      <c r="J10" s="94">
        <f>'Punteggi PT'!J11</f>
        <v>0.65</v>
      </c>
      <c r="L10" s="71">
        <f>'Tabella PT'!X10</f>
        <v>0.69899999999999995</v>
      </c>
      <c r="M10" s="90">
        <f t="shared" ref="M10:M23" si="2">ROUND(I10/$E10*L10,3)</f>
        <v>0.69899999999999995</v>
      </c>
      <c r="N10" s="90">
        <f t="shared" ref="N10:N23" si="3">ROUND(J10/$E10*$L10,3)</f>
        <v>0.69899999999999995</v>
      </c>
    </row>
    <row r="11" spans="1:16" ht="26.25" thickBot="1" x14ac:dyDescent="0.3">
      <c r="A11" s="881"/>
      <c r="B11" s="881"/>
      <c r="C11" s="21" t="s">
        <v>98</v>
      </c>
      <c r="D11" s="22" t="s">
        <v>191</v>
      </c>
      <c r="E11" s="33">
        <f>'Tabella PT'!J11</f>
        <v>2.85</v>
      </c>
      <c r="F11" s="83"/>
      <c r="G11" s="35" t="s">
        <v>85</v>
      </c>
      <c r="I11" s="94">
        <f>'Punteggi PT'!I12</f>
        <v>2.85</v>
      </c>
      <c r="J11" s="94">
        <f>'Punteggi PT'!J12</f>
        <v>2.85</v>
      </c>
      <c r="L11" s="71">
        <f>'Tabella PT'!X11</f>
        <v>1.8959999999999999</v>
      </c>
      <c r="M11" s="90">
        <f t="shared" si="2"/>
        <v>1.8959999999999999</v>
      </c>
      <c r="N11" s="90">
        <f t="shared" si="3"/>
        <v>1.8959999999999999</v>
      </c>
    </row>
    <row r="12" spans="1:16" ht="26.25" thickBot="1" x14ac:dyDescent="0.3">
      <c r="A12" s="881"/>
      <c r="B12" s="881"/>
      <c r="C12" s="21" t="s">
        <v>99</v>
      </c>
      <c r="D12" s="22" t="s">
        <v>192</v>
      </c>
      <c r="E12" s="33">
        <f>'Tabella PT'!J12</f>
        <v>5.15</v>
      </c>
      <c r="F12" s="83"/>
      <c r="G12" s="35" t="s">
        <v>85</v>
      </c>
      <c r="I12" s="94">
        <f>'Punteggi PT'!I13</f>
        <v>5.15</v>
      </c>
      <c r="J12" s="94">
        <f>'Punteggi PT'!J13</f>
        <v>5.15</v>
      </c>
      <c r="L12" s="71">
        <f>'Tabella PT'!X12</f>
        <v>4.0369999999999999</v>
      </c>
      <c r="M12" s="90">
        <f t="shared" si="2"/>
        <v>4.0369999999999999</v>
      </c>
      <c r="N12" s="90">
        <f t="shared" si="3"/>
        <v>4.0369999999999999</v>
      </c>
    </row>
    <row r="13" spans="1:16" ht="26.25" thickBot="1" x14ac:dyDescent="0.3">
      <c r="A13" s="881"/>
      <c r="B13" s="881"/>
      <c r="C13" s="21" t="s">
        <v>100</v>
      </c>
      <c r="D13" s="22" t="s">
        <v>193</v>
      </c>
      <c r="E13" s="33">
        <f>'Tabella PT'!J13</f>
        <v>1.55</v>
      </c>
      <c r="F13" s="83"/>
      <c r="G13" s="35" t="s">
        <v>85</v>
      </c>
      <c r="I13" s="94">
        <f>'Punteggi PT'!I14</f>
        <v>1.55</v>
      </c>
      <c r="J13" s="94">
        <f>'Punteggi PT'!J14</f>
        <v>1.55</v>
      </c>
      <c r="L13" s="71">
        <f>'Tabella PT'!X13</f>
        <v>0.78700000000000003</v>
      </c>
      <c r="M13" s="90">
        <f t="shared" si="2"/>
        <v>0.78700000000000003</v>
      </c>
      <c r="N13" s="90">
        <f t="shared" si="3"/>
        <v>0.78700000000000003</v>
      </c>
    </row>
    <row r="14" spans="1:16" ht="26.25" thickBot="1" x14ac:dyDescent="0.3">
      <c r="A14" s="881"/>
      <c r="B14" s="881"/>
      <c r="C14" s="21" t="s">
        <v>101</v>
      </c>
      <c r="D14" s="22" t="s">
        <v>194</v>
      </c>
      <c r="E14" s="33">
        <f>'Tabella PT'!J14</f>
        <v>2.35</v>
      </c>
      <c r="F14" s="83"/>
      <c r="G14" s="35" t="s">
        <v>85</v>
      </c>
      <c r="I14" s="94">
        <f>'Punteggi PT'!I15</f>
        <v>2.35</v>
      </c>
      <c r="J14" s="94">
        <f>'Punteggi PT'!J15</f>
        <v>1.3</v>
      </c>
      <c r="L14" s="71">
        <f>'Tabella PT'!X14</f>
        <v>0</v>
      </c>
      <c r="M14" s="90">
        <f t="shared" si="2"/>
        <v>0</v>
      </c>
      <c r="N14" s="90">
        <f t="shared" si="3"/>
        <v>0</v>
      </c>
    </row>
    <row r="15" spans="1:16" ht="26.25" thickBot="1" x14ac:dyDescent="0.3">
      <c r="A15" s="881"/>
      <c r="B15" s="881"/>
      <c r="C15" s="21" t="s">
        <v>102</v>
      </c>
      <c r="D15" s="22" t="s">
        <v>195</v>
      </c>
      <c r="E15" s="33">
        <f>'Tabella PT'!J15</f>
        <v>1.85</v>
      </c>
      <c r="F15" s="83"/>
      <c r="G15" s="35" t="s">
        <v>85</v>
      </c>
      <c r="I15" s="94">
        <f>'Punteggi PT'!I16</f>
        <v>1.85</v>
      </c>
      <c r="J15" s="94">
        <f>'Punteggi PT'!J16</f>
        <v>1.454</v>
      </c>
      <c r="L15" s="71">
        <f>'Tabella PT'!X15</f>
        <v>0</v>
      </c>
      <c r="M15" s="90">
        <f t="shared" si="2"/>
        <v>0</v>
      </c>
      <c r="N15" s="90">
        <f t="shared" si="3"/>
        <v>0</v>
      </c>
    </row>
    <row r="16" spans="1:16" ht="26.25" thickBot="1" x14ac:dyDescent="0.3">
      <c r="A16" s="881"/>
      <c r="B16" s="881"/>
      <c r="C16" s="21" t="s">
        <v>103</v>
      </c>
      <c r="D16" s="22" t="s">
        <v>196</v>
      </c>
      <c r="E16" s="33">
        <f>'Tabella PT'!J16</f>
        <v>1</v>
      </c>
      <c r="F16" s="83"/>
      <c r="G16" s="35" t="s">
        <v>85</v>
      </c>
      <c r="I16" s="94">
        <f>'Punteggi PT'!I17</f>
        <v>1</v>
      </c>
      <c r="J16" s="94">
        <f>'Punteggi PT'!J17</f>
        <v>0.62</v>
      </c>
      <c r="L16" s="71">
        <f>'Tabella PT'!X16</f>
        <v>0.98799999999999999</v>
      </c>
      <c r="M16" s="90">
        <f t="shared" si="2"/>
        <v>0.98799999999999999</v>
      </c>
      <c r="N16" s="90">
        <f t="shared" si="3"/>
        <v>0.61299999999999999</v>
      </c>
    </row>
    <row r="17" spans="1:14" ht="26.25" thickBot="1" x14ac:dyDescent="0.3">
      <c r="A17" s="881"/>
      <c r="B17" s="881"/>
      <c r="C17" s="21" t="s">
        <v>104</v>
      </c>
      <c r="D17" s="22" t="s">
        <v>197</v>
      </c>
      <c r="E17" s="33">
        <f>'Tabella PT'!J17</f>
        <v>1.1499999999999999</v>
      </c>
      <c r="F17" s="83"/>
      <c r="G17" s="35" t="s">
        <v>85</v>
      </c>
      <c r="I17" s="94">
        <f>'Punteggi PT'!I18</f>
        <v>1.1499999999999999</v>
      </c>
      <c r="J17" s="94">
        <f>'Punteggi PT'!J18</f>
        <v>1.022</v>
      </c>
      <c r="L17" s="71">
        <f>'Tabella PT'!X17</f>
        <v>0.13200000000000001</v>
      </c>
      <c r="M17" s="90">
        <f t="shared" si="2"/>
        <v>0.13200000000000001</v>
      </c>
      <c r="N17" s="90">
        <f t="shared" si="3"/>
        <v>0.11700000000000001</v>
      </c>
    </row>
    <row r="18" spans="1:14" ht="26.25" thickBot="1" x14ac:dyDescent="0.3">
      <c r="A18" s="881"/>
      <c r="B18" s="881"/>
      <c r="C18" s="21" t="s">
        <v>105</v>
      </c>
      <c r="D18" s="22" t="s">
        <v>198</v>
      </c>
      <c r="E18" s="33">
        <f>'Tabella PT'!J18</f>
        <v>1.05</v>
      </c>
      <c r="F18" s="83"/>
      <c r="G18" s="35" t="s">
        <v>85</v>
      </c>
      <c r="I18" s="94">
        <f>'Punteggi PT'!I19</f>
        <v>0.82699999999999996</v>
      </c>
      <c r="J18" s="94">
        <f>'Punteggi PT'!J19</f>
        <v>0.56599999999999995</v>
      </c>
      <c r="L18" s="71">
        <f>'Tabella PT'!X18</f>
        <v>0.26900000000000002</v>
      </c>
      <c r="M18" s="90">
        <f t="shared" si="2"/>
        <v>0.21199999999999999</v>
      </c>
      <c r="N18" s="90">
        <f t="shared" si="3"/>
        <v>0.14499999999999999</v>
      </c>
    </row>
    <row r="19" spans="1:14" ht="16.5" thickBot="1" x14ac:dyDescent="0.3">
      <c r="A19" s="881"/>
      <c r="B19" s="881"/>
      <c r="C19" s="21" t="s">
        <v>106</v>
      </c>
      <c r="D19" s="22" t="s">
        <v>187</v>
      </c>
      <c r="E19" s="33">
        <f>'Tabella PT'!J19</f>
        <v>1.1000000000000001</v>
      </c>
      <c r="F19" s="83"/>
      <c r="G19" s="35" t="s">
        <v>85</v>
      </c>
      <c r="I19" s="94">
        <f>'Punteggi PT'!I20</f>
        <v>1.1000000000000001</v>
      </c>
      <c r="J19" s="94">
        <f>'Punteggi PT'!J20</f>
        <v>1.1000000000000001</v>
      </c>
      <c r="L19" s="71">
        <f>'Tabella PT'!X19</f>
        <v>0</v>
      </c>
      <c r="M19" s="90">
        <f t="shared" si="2"/>
        <v>0</v>
      </c>
      <c r="N19" s="90">
        <f t="shared" si="3"/>
        <v>0</v>
      </c>
    </row>
    <row r="20" spans="1:14" ht="16.5" thickBot="1" x14ac:dyDescent="0.3">
      <c r="A20" s="881"/>
      <c r="B20" s="881"/>
      <c r="C20" s="21" t="s">
        <v>107</v>
      </c>
      <c r="D20" s="22" t="s">
        <v>166</v>
      </c>
      <c r="E20" s="33">
        <f>'Tabella PT'!J20</f>
        <v>1.1499999999999999</v>
      </c>
      <c r="F20" s="83"/>
      <c r="G20" s="35" t="s">
        <v>85</v>
      </c>
      <c r="I20" s="94">
        <f>'Punteggi PT'!I21</f>
        <v>1.1499999999999999</v>
      </c>
      <c r="J20" s="94">
        <f>'Punteggi PT'!J21</f>
        <v>0.90600000000000003</v>
      </c>
      <c r="L20" s="71">
        <f>'Tabella PT'!X20</f>
        <v>9.3239999999999998</v>
      </c>
      <c r="M20" s="90">
        <f t="shared" si="2"/>
        <v>9.3239999999999998</v>
      </c>
      <c r="N20" s="90">
        <f t="shared" si="3"/>
        <v>7.3460000000000001</v>
      </c>
    </row>
    <row r="21" spans="1:14" ht="26.25" thickBot="1" x14ac:dyDescent="0.3">
      <c r="A21" s="881"/>
      <c r="B21" s="881"/>
      <c r="C21" s="21" t="s">
        <v>109</v>
      </c>
      <c r="D21" s="22" t="s">
        <v>199</v>
      </c>
      <c r="E21" s="33">
        <f>'Tabella PT'!J21</f>
        <v>1.25</v>
      </c>
      <c r="F21" s="83"/>
      <c r="G21" s="35" t="s">
        <v>85</v>
      </c>
      <c r="I21" s="94">
        <f>'Punteggi PT'!I22</f>
        <v>0.77600000000000002</v>
      </c>
      <c r="J21" s="94">
        <f>'Punteggi PT'!J22</f>
        <v>0.88400000000000001</v>
      </c>
      <c r="L21" s="71">
        <f>'Tabella PT'!X21</f>
        <v>0</v>
      </c>
      <c r="M21" s="90">
        <f t="shared" si="2"/>
        <v>0</v>
      </c>
      <c r="N21" s="90">
        <f t="shared" si="3"/>
        <v>0</v>
      </c>
    </row>
    <row r="22" spans="1:14" ht="16.5" thickBot="1" x14ac:dyDescent="0.3">
      <c r="A22" s="881"/>
      <c r="B22" s="881"/>
      <c r="C22" s="21" t="s">
        <v>110</v>
      </c>
      <c r="D22" s="22" t="s">
        <v>200</v>
      </c>
      <c r="E22" s="33">
        <f>'Tabella PT'!J22</f>
        <v>1</v>
      </c>
      <c r="F22" s="83"/>
      <c r="G22" s="35" t="s">
        <v>85</v>
      </c>
      <c r="I22" s="94">
        <f>'Punteggi PT'!I23</f>
        <v>0.62</v>
      </c>
      <c r="J22" s="94">
        <f>'Punteggi PT'!J23</f>
        <v>0.79700000000000004</v>
      </c>
      <c r="L22" s="71">
        <f>'Tabella PT'!X22</f>
        <v>1.7050000000000001</v>
      </c>
      <c r="M22" s="90">
        <f t="shared" si="2"/>
        <v>1.0569999999999999</v>
      </c>
      <c r="N22" s="90">
        <f t="shared" si="3"/>
        <v>1.359</v>
      </c>
    </row>
    <row r="23" spans="1:14" ht="16.5" thickBot="1" x14ac:dyDescent="0.3">
      <c r="A23" s="881"/>
      <c r="B23" s="881"/>
      <c r="C23" s="21" t="s">
        <v>111</v>
      </c>
      <c r="D23" s="22" t="s">
        <v>108</v>
      </c>
      <c r="E23" s="33">
        <f>'Tabella PT'!J23</f>
        <v>1.5</v>
      </c>
      <c r="F23" s="83"/>
      <c r="G23" s="35" t="s">
        <v>85</v>
      </c>
      <c r="I23" s="94">
        <f>'Punteggi PT'!I24</f>
        <v>1.5</v>
      </c>
      <c r="J23" s="94">
        <f>'Punteggi PT'!J24</f>
        <v>1.5</v>
      </c>
      <c r="L23" s="71">
        <f>'Tabella PT'!X23</f>
        <v>3.2949999999999999</v>
      </c>
      <c r="M23" s="90">
        <f t="shared" si="2"/>
        <v>3.2949999999999999</v>
      </c>
      <c r="N23" s="90">
        <f t="shared" si="3"/>
        <v>3.2949999999999999</v>
      </c>
    </row>
    <row r="24" spans="1:14" ht="16.5" thickBot="1" x14ac:dyDescent="0.3">
      <c r="A24" s="881"/>
      <c r="B24" s="881"/>
      <c r="C24" s="21" t="s">
        <v>112</v>
      </c>
      <c r="D24" s="22" t="s">
        <v>174</v>
      </c>
      <c r="E24" s="33">
        <f>'Tabella PT'!J24</f>
        <v>3.5</v>
      </c>
      <c r="F24" s="82" t="s">
        <v>85</v>
      </c>
      <c r="G24" s="34"/>
      <c r="I24" s="94">
        <f>'Punteggi PT'!I25</f>
        <v>3.077</v>
      </c>
      <c r="J24" s="94">
        <f>'Punteggi PT'!J25</f>
        <v>3.077</v>
      </c>
      <c r="L24" s="427">
        <f>'Tabella PT'!X24</f>
        <v>3.5</v>
      </c>
      <c r="M24" s="428">
        <f t="shared" ref="M24:M35" si="4">ROUND(I24,3)</f>
        <v>3.077</v>
      </c>
      <c r="N24" s="428">
        <f t="shared" ref="N24:N35" si="5">J24/$E24*$L24</f>
        <v>3.077</v>
      </c>
    </row>
    <row r="25" spans="1:14" ht="16.5" thickBot="1" x14ac:dyDescent="0.3">
      <c r="A25" s="881"/>
      <c r="B25" s="881"/>
      <c r="C25" s="21" t="s">
        <v>113</v>
      </c>
      <c r="D25" s="22" t="s">
        <v>175</v>
      </c>
      <c r="E25" s="33">
        <f>'Tabella PT'!J25</f>
        <v>2.8</v>
      </c>
      <c r="F25" s="82" t="s">
        <v>85</v>
      </c>
      <c r="G25" s="34"/>
      <c r="I25" s="94">
        <f>'Punteggi PT'!I26</f>
        <v>2.4809999999999999</v>
      </c>
      <c r="J25" s="94">
        <f>'Punteggi PT'!J26</f>
        <v>2.4889999999999999</v>
      </c>
      <c r="L25" s="427">
        <f>'Tabella PT'!X25</f>
        <v>2.8</v>
      </c>
      <c r="M25" s="428">
        <f t="shared" si="4"/>
        <v>2.4809999999999999</v>
      </c>
      <c r="N25" s="428">
        <f t="shared" si="5"/>
        <v>2.4889999999999999</v>
      </c>
    </row>
    <row r="26" spans="1:14" ht="16.5" thickBot="1" x14ac:dyDescent="0.3">
      <c r="A26" s="881"/>
      <c r="B26" s="881"/>
      <c r="C26" s="21" t="s">
        <v>114</v>
      </c>
      <c r="D26" s="22" t="s">
        <v>176</v>
      </c>
      <c r="E26" s="33">
        <f>'Tabella PT'!J26</f>
        <v>0.95</v>
      </c>
      <c r="F26" s="82" t="s">
        <v>85</v>
      </c>
      <c r="G26" s="34"/>
      <c r="I26" s="94">
        <f>'Punteggi PT'!I27</f>
        <v>0.95</v>
      </c>
      <c r="J26" s="94">
        <f>'Punteggi PT'!J27</f>
        <v>0.95</v>
      </c>
      <c r="L26" s="427">
        <f>'Tabella PT'!X26</f>
        <v>0.95</v>
      </c>
      <c r="M26" s="428">
        <f t="shared" si="4"/>
        <v>0.95</v>
      </c>
      <c r="N26" s="428">
        <f t="shared" si="5"/>
        <v>0.95</v>
      </c>
    </row>
    <row r="27" spans="1:14" ht="26.25" thickBot="1" x14ac:dyDescent="0.3">
      <c r="A27" s="881"/>
      <c r="B27" s="881"/>
      <c r="C27" s="21" t="s">
        <v>165</v>
      </c>
      <c r="D27" s="22" t="s">
        <v>201</v>
      </c>
      <c r="E27" s="33">
        <f>'Tabella PT'!J27</f>
        <v>0.75</v>
      </c>
      <c r="F27" s="82" t="s">
        <v>85</v>
      </c>
      <c r="G27" s="34"/>
      <c r="I27" s="94">
        <f>'Punteggi PT'!I28</f>
        <v>0.75</v>
      </c>
      <c r="J27" s="94">
        <f>'Punteggi PT'!J28</f>
        <v>0.75</v>
      </c>
      <c r="L27" s="427">
        <f>'Tabella PT'!X27</f>
        <v>0.75</v>
      </c>
      <c r="M27" s="428">
        <f t="shared" si="4"/>
        <v>0.75</v>
      </c>
      <c r="N27" s="428">
        <f t="shared" si="5"/>
        <v>0.75</v>
      </c>
    </row>
    <row r="28" spans="1:14" ht="26.25" thickBot="1" x14ac:dyDescent="0.3">
      <c r="A28" s="881"/>
      <c r="B28" s="881"/>
      <c r="C28" s="21" t="s">
        <v>172</v>
      </c>
      <c r="D28" s="22" t="s">
        <v>202</v>
      </c>
      <c r="E28" s="33">
        <f>'Tabella PT'!J28</f>
        <v>0.75</v>
      </c>
      <c r="F28" s="82" t="s">
        <v>85</v>
      </c>
      <c r="G28" s="34"/>
      <c r="I28" s="94">
        <f>'Punteggi PT'!I29</f>
        <v>0.75</v>
      </c>
      <c r="J28" s="94">
        <f>'Punteggi PT'!J29</f>
        <v>0.75</v>
      </c>
      <c r="L28" s="427">
        <f>'Tabella PT'!X28</f>
        <v>0.75</v>
      </c>
      <c r="M28" s="428">
        <f t="shared" si="4"/>
        <v>0.75</v>
      </c>
      <c r="N28" s="428">
        <f t="shared" si="5"/>
        <v>0.75</v>
      </c>
    </row>
    <row r="29" spans="1:14" ht="26.25" thickBot="1" x14ac:dyDescent="0.3">
      <c r="A29" s="881"/>
      <c r="B29" s="881"/>
      <c r="C29" s="21" t="s">
        <v>173</v>
      </c>
      <c r="D29" s="22" t="s">
        <v>203</v>
      </c>
      <c r="E29" s="33">
        <f>'Tabella PT'!J29</f>
        <v>1.75</v>
      </c>
      <c r="F29" s="82" t="s">
        <v>85</v>
      </c>
      <c r="G29" s="34"/>
      <c r="I29" s="94">
        <f>'Punteggi PT'!I30</f>
        <v>1.75</v>
      </c>
      <c r="J29" s="94">
        <f>'Punteggi PT'!J30</f>
        <v>1.75</v>
      </c>
      <c r="L29" s="427">
        <f>'Tabella PT'!X29</f>
        <v>1.75</v>
      </c>
      <c r="M29" s="428">
        <f t="shared" si="4"/>
        <v>1.75</v>
      </c>
      <c r="N29" s="428">
        <f t="shared" si="5"/>
        <v>1.75</v>
      </c>
    </row>
    <row r="30" spans="1:14" ht="26.25" thickBot="1" x14ac:dyDescent="0.3">
      <c r="A30" s="880"/>
      <c r="B30" s="880"/>
      <c r="C30" s="21" t="s">
        <v>190</v>
      </c>
      <c r="D30" s="22" t="s">
        <v>204</v>
      </c>
      <c r="E30" s="33">
        <f>'Tabella PT'!J30</f>
        <v>1.75</v>
      </c>
      <c r="F30" s="82" t="s">
        <v>85</v>
      </c>
      <c r="G30" s="34"/>
      <c r="I30" s="94">
        <f>'Punteggi PT'!I31</f>
        <v>1.75</v>
      </c>
      <c r="J30" s="94">
        <f>'Punteggi PT'!J31</f>
        <v>1.75</v>
      </c>
      <c r="L30" s="427">
        <f>'Tabella PT'!X30</f>
        <v>1.75</v>
      </c>
      <c r="M30" s="428">
        <f t="shared" si="4"/>
        <v>1.75</v>
      </c>
      <c r="N30" s="428">
        <f t="shared" si="5"/>
        <v>1.75</v>
      </c>
    </row>
    <row r="31" spans="1:14" ht="15.95" customHeight="1" thickBot="1" x14ac:dyDescent="0.3">
      <c r="A31" s="879">
        <v>4</v>
      </c>
      <c r="B31" s="879" t="s">
        <v>205</v>
      </c>
      <c r="C31" s="21" t="s">
        <v>115</v>
      </c>
      <c r="D31" s="22" t="s">
        <v>167</v>
      </c>
      <c r="E31" s="33">
        <f>'Tabella PT'!J31</f>
        <v>1.75</v>
      </c>
      <c r="F31" s="82" t="s">
        <v>85</v>
      </c>
      <c r="G31" s="34"/>
      <c r="I31" s="94">
        <f>'Punteggi PT'!I32</f>
        <v>1.75</v>
      </c>
      <c r="J31" s="94">
        <f>'Punteggi PT'!J32</f>
        <v>0.749</v>
      </c>
      <c r="L31" s="427">
        <f>'Tabella PT'!X31</f>
        <v>1.75</v>
      </c>
      <c r="M31" s="428">
        <f t="shared" si="4"/>
        <v>1.75</v>
      </c>
      <c r="N31" s="428">
        <f t="shared" si="5"/>
        <v>0.749</v>
      </c>
    </row>
    <row r="32" spans="1:14" ht="16.5" thickBot="1" x14ac:dyDescent="0.3">
      <c r="A32" s="881"/>
      <c r="B32" s="881"/>
      <c r="C32" s="21" t="s">
        <v>116</v>
      </c>
      <c r="D32" s="22" t="s">
        <v>206</v>
      </c>
      <c r="E32" s="33">
        <f>'Tabella PT'!J32</f>
        <v>1.4</v>
      </c>
      <c r="F32" s="82" t="s">
        <v>85</v>
      </c>
      <c r="G32" s="34"/>
      <c r="I32" s="94">
        <f>'Punteggi PT'!I33</f>
        <v>1.4</v>
      </c>
      <c r="J32" s="94">
        <f>'Punteggi PT'!J33</f>
        <v>0.67200000000000004</v>
      </c>
      <c r="L32" s="427">
        <f>'Tabella PT'!X32</f>
        <v>1.4</v>
      </c>
      <c r="M32" s="428">
        <f t="shared" si="4"/>
        <v>1.4</v>
      </c>
      <c r="N32" s="428">
        <f t="shared" si="5"/>
        <v>0.67200000000000004</v>
      </c>
    </row>
    <row r="33" spans="1:14" ht="16.5" thickBot="1" x14ac:dyDescent="0.3">
      <c r="A33" s="881"/>
      <c r="B33" s="881"/>
      <c r="C33" s="21" t="s">
        <v>169</v>
      </c>
      <c r="D33" s="22" t="s">
        <v>207</v>
      </c>
      <c r="E33" s="33">
        <f>'Tabella PT'!J33</f>
        <v>1.4</v>
      </c>
      <c r="F33" s="82" t="s">
        <v>85</v>
      </c>
      <c r="G33" s="34"/>
      <c r="I33" s="94">
        <f>'Punteggi PT'!I34</f>
        <v>0.85699999999999998</v>
      </c>
      <c r="J33" s="94">
        <f>'Punteggi PT'!J34</f>
        <v>0.46899999999999997</v>
      </c>
      <c r="L33" s="427">
        <f>'Tabella PT'!X33</f>
        <v>1.4</v>
      </c>
      <c r="M33" s="428">
        <f t="shared" si="4"/>
        <v>0.85699999999999998</v>
      </c>
      <c r="N33" s="428">
        <f t="shared" si="5"/>
        <v>0.46899999999999997</v>
      </c>
    </row>
    <row r="34" spans="1:14" ht="16.5" thickBot="1" x14ac:dyDescent="0.3">
      <c r="A34" s="881"/>
      <c r="B34" s="881"/>
      <c r="C34" s="21" t="s">
        <v>170</v>
      </c>
      <c r="D34" s="22" t="s">
        <v>168</v>
      </c>
      <c r="E34" s="33">
        <f>'Tabella PT'!J34</f>
        <v>1.95</v>
      </c>
      <c r="F34" s="82" t="s">
        <v>85</v>
      </c>
      <c r="G34" s="34"/>
      <c r="I34" s="94">
        <f>'Punteggi PT'!I35</f>
        <v>1.5089999999999999</v>
      </c>
      <c r="J34" s="94">
        <f>'Punteggi PT'!J35</f>
        <v>1.95</v>
      </c>
      <c r="L34" s="427">
        <f>'Tabella PT'!X34</f>
        <v>1.95</v>
      </c>
      <c r="M34" s="428">
        <f t="shared" si="4"/>
        <v>1.5089999999999999</v>
      </c>
      <c r="N34" s="428">
        <f t="shared" si="5"/>
        <v>1.95</v>
      </c>
    </row>
    <row r="35" spans="1:14" ht="26.25" thickBot="1" x14ac:dyDescent="0.3">
      <c r="A35" s="880"/>
      <c r="B35" s="880"/>
      <c r="C35" s="21" t="s">
        <v>171</v>
      </c>
      <c r="D35" s="22" t="s">
        <v>208</v>
      </c>
      <c r="E35" s="33">
        <f>'Tabella PT'!J35</f>
        <v>2.25</v>
      </c>
      <c r="F35" s="82" t="s">
        <v>85</v>
      </c>
      <c r="G35" s="34"/>
      <c r="I35" s="94">
        <f>'Punteggi PT'!I36</f>
        <v>1.9890000000000001</v>
      </c>
      <c r="J35" s="94">
        <f>'Punteggi PT'!J36</f>
        <v>1.9890000000000001</v>
      </c>
      <c r="L35" s="427">
        <f>'Tabella PT'!X35</f>
        <v>2.25</v>
      </c>
      <c r="M35" s="428">
        <f t="shared" si="4"/>
        <v>1.9890000000000001</v>
      </c>
      <c r="N35" s="428">
        <f t="shared" si="5"/>
        <v>1.9890000000000001</v>
      </c>
    </row>
    <row r="36" spans="1:14" ht="22.5" customHeight="1" thickBot="1" x14ac:dyDescent="0.3">
      <c r="A36" s="879">
        <v>5</v>
      </c>
      <c r="B36" s="879" t="s">
        <v>117</v>
      </c>
      <c r="C36" s="21" t="s">
        <v>118</v>
      </c>
      <c r="D36" s="22" t="s">
        <v>119</v>
      </c>
      <c r="E36" s="33">
        <f>'Tabella PT'!J36</f>
        <v>1.55</v>
      </c>
      <c r="F36" s="83"/>
      <c r="G36" s="35" t="s">
        <v>85</v>
      </c>
      <c r="I36" s="94">
        <f>'Punteggi PT'!I37</f>
        <v>1.55</v>
      </c>
      <c r="J36" s="94">
        <f>'Punteggi PT'!J37</f>
        <v>1.55</v>
      </c>
      <c r="L36" s="71">
        <f>'Tabella PT'!X36</f>
        <v>1.677</v>
      </c>
      <c r="M36" s="90">
        <f t="shared" ref="M36:M37" si="6">ROUND(I36/$E36*L36,3)</f>
        <v>1.677</v>
      </c>
      <c r="N36" s="90">
        <f t="shared" ref="N36:N37" si="7">ROUND(J36/$E36*$L36,3)</f>
        <v>1.677</v>
      </c>
    </row>
    <row r="37" spans="1:14" ht="18" customHeight="1" thickBot="1" x14ac:dyDescent="0.3">
      <c r="A37" s="880"/>
      <c r="B37" s="880"/>
      <c r="C37" s="21" t="s">
        <v>120</v>
      </c>
      <c r="D37" s="22" t="s">
        <v>177</v>
      </c>
      <c r="E37" s="74">
        <f>'Tabella PT'!J37</f>
        <v>0.45</v>
      </c>
      <c r="F37" s="84"/>
      <c r="G37" s="85" t="s">
        <v>85</v>
      </c>
      <c r="I37" s="94">
        <f>'Punteggi PT'!I38</f>
        <v>0.45</v>
      </c>
      <c r="J37" s="94">
        <f>'Punteggi PT'!J38</f>
        <v>0.45</v>
      </c>
      <c r="L37" s="31">
        <f>'Tabella PT'!X37</f>
        <v>0.115</v>
      </c>
      <c r="M37" s="91">
        <f t="shared" si="6"/>
        <v>0.115</v>
      </c>
      <c r="N37" s="91">
        <f t="shared" si="7"/>
        <v>0.115</v>
      </c>
    </row>
    <row r="38" spans="1:14" ht="6.6" customHeight="1" thickBot="1" x14ac:dyDescent="0.3">
      <c r="A38" s="75"/>
      <c r="B38" s="75"/>
      <c r="C38" s="76"/>
      <c r="D38" s="77"/>
      <c r="E38" s="78"/>
      <c r="I38" s="95"/>
      <c r="J38" s="95"/>
      <c r="L38" s="79"/>
      <c r="M38" s="92"/>
      <c r="N38" s="92"/>
    </row>
    <row r="39" spans="1:14" ht="16.5" thickBot="1" x14ac:dyDescent="0.3">
      <c r="E39" s="910" t="s">
        <v>240</v>
      </c>
      <c r="F39" s="911"/>
      <c r="G39" s="911"/>
      <c r="H39" s="912"/>
      <c r="I39" s="431">
        <f>SUM(I3:I37)</f>
        <v>64.878</v>
      </c>
      <c r="J39" s="431">
        <f>SUM(J3:J37)</f>
        <v>58.153999999999996</v>
      </c>
      <c r="L39" s="429" t="s">
        <v>179</v>
      </c>
      <c r="M39" s="430">
        <f>SUM(M3:M8,M24:M35)</f>
        <v>31.954999999999998</v>
      </c>
      <c r="N39" s="430">
        <f>SUM(N3:N8,N24:N35)</f>
        <v>27.404999999999998</v>
      </c>
    </row>
    <row r="40" spans="1:14" ht="16.5" thickBot="1" x14ac:dyDescent="0.3">
      <c r="L40" s="89" t="s">
        <v>180</v>
      </c>
      <c r="M40" s="93">
        <f>SUM(M9:M23,M36:M37)</f>
        <v>33.293999999999997</v>
      </c>
      <c r="N40" s="93">
        <f>SUM(N9:N23,N36:N37)</f>
        <v>31.160999999999998</v>
      </c>
    </row>
    <row r="41" spans="1:14" ht="6.95" customHeight="1" x14ac:dyDescent="0.25"/>
  </sheetData>
  <sheetProtection algorithmName="SHA-512" hashValue="2IMgOQIZBRaDiqaQOf+BJFOBy90Mjgcl/ZSJrbnxDwRJfT90lw+DXE6noqlOoTof47S9Xyr5Sq+LZrdh6FzT0Q==" saltValue="b1I7mJNGolpqj1lwOa/4Tg==" spinCount="100000" sheet="1" objects="1" scenarios="1"/>
  <mergeCells count="13">
    <mergeCell ref="L1:N1"/>
    <mergeCell ref="E39:H39"/>
    <mergeCell ref="A1:J1"/>
    <mergeCell ref="A31:A35"/>
    <mergeCell ref="B31:B35"/>
    <mergeCell ref="A36:A37"/>
    <mergeCell ref="B36:B37"/>
    <mergeCell ref="A7:A8"/>
    <mergeCell ref="B7:B8"/>
    <mergeCell ref="A9:A30"/>
    <mergeCell ref="B9:B30"/>
    <mergeCell ref="A3:A6"/>
    <mergeCell ref="B3:B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tabColor rgb="FFFFFF00"/>
  </sheetPr>
  <dimension ref="A1:P53"/>
  <sheetViews>
    <sheetView topLeftCell="A28" zoomScale="90" zoomScaleNormal="90" workbookViewId="0">
      <selection activeCell="G15" sqref="G15"/>
    </sheetView>
  </sheetViews>
  <sheetFormatPr defaultRowHeight="15" x14ac:dyDescent="0.25"/>
  <cols>
    <col min="1" max="1" width="7.42578125" bestFit="1" customWidth="1"/>
    <col min="2" max="2" width="32.42578125" bestFit="1" customWidth="1"/>
    <col min="3" max="3" width="2.5703125" style="29" customWidth="1"/>
    <col min="4" max="4" width="17.42578125" style="1" customWidth="1"/>
    <col min="5" max="5" width="20" style="1" bestFit="1" customWidth="1"/>
    <col min="6" max="6" width="17.42578125" style="1" customWidth="1"/>
    <col min="7" max="7" width="20" style="1" bestFit="1" customWidth="1"/>
    <col min="8" max="8" width="17.42578125" style="1" customWidth="1"/>
    <col min="9" max="9" width="22.140625" style="1" bestFit="1" customWidth="1"/>
    <col min="10" max="10" width="2.140625" customWidth="1"/>
    <col min="11" max="14" width="17.42578125" style="1" customWidth="1"/>
    <col min="15" max="15" width="19.140625" style="1" customWidth="1"/>
    <col min="16" max="16" width="22.140625" style="1" bestFit="1" customWidth="1"/>
    <col min="18" max="18" width="15.42578125" bestFit="1" customWidth="1"/>
  </cols>
  <sheetData>
    <row r="1" spans="1:16" ht="32.1" customHeight="1" thickBot="1" x14ac:dyDescent="0.3">
      <c r="A1" s="432" t="s">
        <v>1235</v>
      </c>
      <c r="B1" s="919" t="s">
        <v>149</v>
      </c>
      <c r="C1" s="919"/>
      <c r="D1" s="919"/>
      <c r="E1" s="919"/>
      <c r="F1" s="919"/>
      <c r="G1" s="919"/>
      <c r="H1" s="919"/>
      <c r="I1" s="919"/>
      <c r="J1" s="919"/>
      <c r="K1" s="919"/>
      <c r="L1" s="919"/>
      <c r="M1" s="919"/>
      <c r="N1" s="919"/>
      <c r="O1" s="919"/>
      <c r="P1" s="919"/>
    </row>
    <row r="2" spans="1:16" s="40" customFormat="1" ht="19.5" thickBot="1" x14ac:dyDescent="0.35">
      <c r="C2" s="41"/>
      <c r="D2" s="920" t="s">
        <v>141</v>
      </c>
      <c r="E2" s="921"/>
      <c r="F2" s="921"/>
      <c r="G2" s="921"/>
      <c r="H2" s="921"/>
      <c r="I2" s="922"/>
      <c r="K2" s="920" t="s">
        <v>142</v>
      </c>
      <c r="L2" s="921"/>
      <c r="M2" s="921"/>
      <c r="N2" s="921"/>
      <c r="O2" s="921"/>
      <c r="P2" s="922"/>
    </row>
    <row r="3" spans="1:16" ht="36" customHeight="1" x14ac:dyDescent="0.25">
      <c r="D3" s="50" t="s">
        <v>154</v>
      </c>
      <c r="E3" s="53" t="s">
        <v>150</v>
      </c>
      <c r="F3" s="925"/>
      <c r="G3" s="925"/>
      <c r="H3" s="925"/>
      <c r="I3" s="57">
        <f>E36</f>
        <v>0.34455801819958265</v>
      </c>
      <c r="K3" s="50" t="s">
        <v>155</v>
      </c>
      <c r="L3" s="53" t="s">
        <v>150</v>
      </c>
      <c r="M3" s="925"/>
      <c r="N3" s="925"/>
      <c r="O3" s="925"/>
      <c r="P3" s="57">
        <f>G36</f>
        <v>0.44459075527215031</v>
      </c>
    </row>
    <row r="4" spans="1:16" ht="36" customHeight="1" x14ac:dyDescent="0.25">
      <c r="D4" s="51" t="s">
        <v>153</v>
      </c>
      <c r="E4" s="54" t="s">
        <v>151</v>
      </c>
      <c r="F4" s="926"/>
      <c r="G4" s="926"/>
      <c r="H4" s="926"/>
      <c r="I4" s="58">
        <f>H53</f>
        <v>0.449487629688747</v>
      </c>
      <c r="K4" s="51" t="s">
        <v>156</v>
      </c>
      <c r="L4" s="54" t="s">
        <v>151</v>
      </c>
      <c r="M4" s="926"/>
      <c r="N4" s="926"/>
      <c r="O4" s="926"/>
      <c r="P4" s="58">
        <f>L53</f>
        <v>0.4529002394253791</v>
      </c>
    </row>
    <row r="5" spans="1:16" ht="36" customHeight="1" thickBot="1" x14ac:dyDescent="0.3">
      <c r="D5" s="52" t="s">
        <v>152</v>
      </c>
      <c r="E5" s="55" t="s">
        <v>147</v>
      </c>
      <c r="F5" s="923"/>
      <c r="G5" s="923"/>
      <c r="H5" s="923"/>
      <c r="I5" s="56">
        <f>(1-'Tabella PT'!$V$3)*AS_CalcoloPE!I3+'Tabella PT'!$V$3*AS_CalcoloPE!I4</f>
        <v>0.36667597963302379</v>
      </c>
      <c r="K5" s="52" t="s">
        <v>157</v>
      </c>
      <c r="L5" s="55" t="s">
        <v>147</v>
      </c>
      <c r="M5" s="923"/>
      <c r="N5" s="923"/>
      <c r="O5" s="923"/>
      <c r="P5" s="56">
        <f>(1-'Tabella PT'!$V$3)*AS_CalcoloPE!P3+'Tabella PT'!$V$3*AS_CalcoloPE!P4</f>
        <v>0.44634229944947612</v>
      </c>
    </row>
    <row r="6" spans="1:16" ht="36" customHeight="1" thickBot="1" x14ac:dyDescent="0.3">
      <c r="D6" s="435" t="s">
        <v>159</v>
      </c>
      <c r="E6" s="436"/>
      <c r="F6" s="924"/>
      <c r="G6" s="924"/>
      <c r="H6" s="924"/>
      <c r="I6" s="437">
        <f>ROUND((POWER((I5/MAX($I$5,$P$5)),0.5)*30),3)</f>
        <v>27.190999999999999</v>
      </c>
      <c r="K6" s="435" t="s">
        <v>158</v>
      </c>
      <c r="L6" s="436"/>
      <c r="M6" s="924"/>
      <c r="N6" s="924"/>
      <c r="O6" s="924"/>
      <c r="P6" s="437">
        <f>ROUND((POWER((P5/MAX($I$5,$P$5)),0.5)*30),3)</f>
        <v>30</v>
      </c>
    </row>
    <row r="8" spans="1:16" ht="32.1" customHeight="1" thickBot="1" x14ac:dyDescent="0.3">
      <c r="A8" s="433" t="s">
        <v>1236</v>
      </c>
      <c r="B8" s="919" t="s">
        <v>148</v>
      </c>
      <c r="C8" s="919"/>
      <c r="D8" s="919"/>
      <c r="E8" s="919"/>
      <c r="F8" s="919"/>
      <c r="G8" s="919"/>
    </row>
    <row r="9" spans="1:16" ht="15.75" x14ac:dyDescent="0.25">
      <c r="D9"/>
      <c r="E9" s="826" t="s">
        <v>141</v>
      </c>
      <c r="F9"/>
      <c r="G9" s="826" t="s">
        <v>142</v>
      </c>
      <c r="H9"/>
      <c r="I9"/>
      <c r="K9"/>
      <c r="L9"/>
      <c r="M9"/>
      <c r="N9"/>
      <c r="O9"/>
      <c r="P9"/>
    </row>
    <row r="10" spans="1:16" ht="16.5" thickBot="1" x14ac:dyDescent="0.3">
      <c r="D10"/>
      <c r="E10" s="827" t="s">
        <v>1158</v>
      </c>
      <c r="F10"/>
      <c r="G10" s="827" t="s">
        <v>1158</v>
      </c>
      <c r="H10"/>
      <c r="I10"/>
      <c r="K10"/>
      <c r="L10"/>
      <c r="M10"/>
      <c r="N10"/>
      <c r="O10"/>
      <c r="P10"/>
    </row>
    <row r="11" spans="1:16" x14ac:dyDescent="0.25">
      <c r="B11" s="790" t="s">
        <v>123</v>
      </c>
      <c r="C11" s="42"/>
      <c r="D11"/>
      <c r="E11" s="801">
        <f t="shared" ref="E11" si="0">SUM(E12:E18)</f>
        <v>1269383.9080000001</v>
      </c>
      <c r="F11"/>
      <c r="G11" s="801">
        <f t="shared" ref="G11" si="1">SUM(G12:G18)</f>
        <v>1448110.54</v>
      </c>
      <c r="H11"/>
      <c r="I11"/>
      <c r="K11"/>
      <c r="L11"/>
      <c r="M11"/>
      <c r="N11"/>
      <c r="O11"/>
      <c r="P11"/>
    </row>
    <row r="12" spans="1:16" x14ac:dyDescent="0.25">
      <c r="B12" s="791" t="s">
        <v>2</v>
      </c>
      <c r="C12" s="43"/>
      <c r="D12"/>
      <c r="E12" s="802">
        <f>SUM(ELT!$G$24:$Z$24)</f>
        <v>126217.03999999998</v>
      </c>
      <c r="F12"/>
      <c r="G12" s="802">
        <f>SUM(ELT!$G$25:$Z$25)</f>
        <v>183617.06400000001</v>
      </c>
      <c r="H12"/>
      <c r="I12"/>
      <c r="K12"/>
      <c r="L12"/>
      <c r="M12"/>
      <c r="N12"/>
      <c r="O12"/>
      <c r="P12"/>
    </row>
    <row r="13" spans="1:16" x14ac:dyDescent="0.25">
      <c r="B13" s="792" t="s">
        <v>122</v>
      </c>
      <c r="C13" s="43"/>
      <c r="D13"/>
      <c r="E13" s="803">
        <f>SUM(SPE!$G$20:$Z$20)</f>
        <v>99217.804000000004</v>
      </c>
      <c r="F13"/>
      <c r="G13" s="803">
        <f>SUM(SPE!$G$21:$Z$21)</f>
        <v>58745.02</v>
      </c>
      <c r="H13"/>
      <c r="I13"/>
      <c r="K13"/>
      <c r="L13"/>
      <c r="M13"/>
      <c r="N13"/>
      <c r="O13"/>
      <c r="P13"/>
    </row>
    <row r="14" spans="1:16" x14ac:dyDescent="0.25">
      <c r="B14" s="793" t="s">
        <v>474</v>
      </c>
      <c r="C14" s="43"/>
      <c r="D14"/>
      <c r="E14" s="804">
        <f>SUM(CLI!$G$36:$Z$36)</f>
        <v>240631.04800000004</v>
      </c>
      <c r="F14"/>
      <c r="G14" s="804">
        <f>SUM(CLI!$G$37:$Z$37)</f>
        <v>302021.83999999997</v>
      </c>
      <c r="H14"/>
      <c r="I14"/>
      <c r="K14"/>
      <c r="L14"/>
      <c r="M14"/>
      <c r="N14"/>
      <c r="O14"/>
      <c r="P14"/>
    </row>
    <row r="15" spans="1:16" x14ac:dyDescent="0.25">
      <c r="B15" s="792" t="s">
        <v>4</v>
      </c>
      <c r="C15" s="43"/>
      <c r="D15"/>
      <c r="E15" s="803">
        <f>SUM(IDR!$G$16:$Z$16)</f>
        <v>30429.887999999995</v>
      </c>
      <c r="F15"/>
      <c r="G15" s="803">
        <f>SUM(IDR!$G$17:$Z$17)</f>
        <v>46145.464000000007</v>
      </c>
      <c r="H15"/>
      <c r="I15"/>
      <c r="K15"/>
      <c r="L15"/>
      <c r="M15"/>
      <c r="N15"/>
      <c r="O15"/>
      <c r="P15"/>
    </row>
    <row r="16" spans="1:16" x14ac:dyDescent="0.25">
      <c r="B16" s="793" t="s">
        <v>3</v>
      </c>
      <c r="C16" s="43"/>
      <c r="D16"/>
      <c r="E16" s="804">
        <f>SUM(ELV!$G$20:$Z$20)</f>
        <v>0</v>
      </c>
      <c r="F16"/>
      <c r="G16" s="804">
        <f>SUM(ELV!$G$21:$Z$21)</f>
        <v>0</v>
      </c>
      <c r="H16"/>
      <c r="I16"/>
      <c r="K16"/>
      <c r="L16"/>
      <c r="M16"/>
      <c r="N16"/>
      <c r="O16"/>
      <c r="P16"/>
    </row>
    <row r="17" spans="2:16" x14ac:dyDescent="0.25">
      <c r="B17" s="792" t="s">
        <v>124</v>
      </c>
      <c r="C17" s="43"/>
      <c r="D17"/>
      <c r="E17" s="803">
        <f>SUM(ANT!$G$66:$Z$66)</f>
        <v>0</v>
      </c>
      <c r="F17"/>
      <c r="G17" s="803">
        <f>SUM(ANT!$G$67:$Z$67)</f>
        <v>0</v>
      </c>
      <c r="H17"/>
      <c r="I17"/>
      <c r="K17"/>
      <c r="L17"/>
      <c r="M17"/>
      <c r="N17"/>
      <c r="O17"/>
      <c r="P17"/>
    </row>
    <row r="18" spans="2:16" x14ac:dyDescent="0.25">
      <c r="B18" s="794" t="s">
        <v>140</v>
      </c>
      <c r="C18" s="43"/>
      <c r="D18"/>
      <c r="E18" s="805">
        <f>SUM(PTEC!$E$56:$X$56)</f>
        <v>772888.12800000003</v>
      </c>
      <c r="F18"/>
      <c r="G18" s="805">
        <f>SUM(PTEC!$E$57:$X$57)</f>
        <v>857581.152</v>
      </c>
      <c r="H18"/>
      <c r="I18"/>
      <c r="K18"/>
      <c r="L18"/>
      <c r="M18"/>
      <c r="N18"/>
      <c r="O18"/>
      <c r="P18"/>
    </row>
    <row r="19" spans="2:16" x14ac:dyDescent="0.25">
      <c r="B19" s="795" t="s">
        <v>125</v>
      </c>
      <c r="C19" s="42"/>
      <c r="D19"/>
      <c r="E19" s="801">
        <f>SUM(E20:E24)</f>
        <v>1773040.3446666661</v>
      </c>
      <c r="F19"/>
      <c r="G19" s="801">
        <f>SUM(G20:G24)</f>
        <v>1147865.8729999992</v>
      </c>
      <c r="H19"/>
      <c r="I19"/>
      <c r="K19"/>
      <c r="L19"/>
      <c r="M19"/>
      <c r="N19"/>
      <c r="O19"/>
      <c r="P19"/>
    </row>
    <row r="20" spans="2:16" x14ac:dyDescent="0.25">
      <c r="B20" s="791" t="s">
        <v>5</v>
      </c>
      <c r="C20" s="43"/>
      <c r="D20"/>
      <c r="E20" s="802">
        <f>SUM(PUL_AB!$I$97:$AB$97)+SUM(PUL_ARP!F68:$AS$68)</f>
        <v>1517126.6879999996</v>
      </c>
      <c r="F20"/>
      <c r="G20" s="802">
        <f>SUM(PUL_AB!$I$98:$AB$98)+SUM(PUL_ARP!F69:$AS$69)</f>
        <v>998025.4879999992</v>
      </c>
      <c r="H20"/>
      <c r="I20"/>
      <c r="K20"/>
      <c r="L20"/>
      <c r="M20"/>
      <c r="N20"/>
      <c r="O20"/>
      <c r="P20"/>
    </row>
    <row r="21" spans="2:16" x14ac:dyDescent="0.25">
      <c r="B21" s="792" t="s">
        <v>129</v>
      </c>
      <c r="C21" s="43"/>
      <c r="D21"/>
      <c r="E21" s="803">
        <f>SUM(PPUL!$E$20:$X$20)</f>
        <v>0</v>
      </c>
      <c r="F21"/>
      <c r="G21" s="803">
        <f>SUM(PPUL!$E$21:$X$21)</f>
        <v>0</v>
      </c>
      <c r="H21"/>
      <c r="I21"/>
      <c r="K21"/>
      <c r="L21"/>
      <c r="M21"/>
      <c r="N21"/>
      <c r="O21"/>
      <c r="P21"/>
    </row>
    <row r="22" spans="2:16" x14ac:dyDescent="0.25">
      <c r="B22" s="793" t="s">
        <v>126</v>
      </c>
      <c r="C22" s="43"/>
      <c r="D22"/>
      <c r="E22" s="804">
        <f>SUM(DIS_AB!$G$31:$Z$31)+SUM(DIS_ARP!$F$14:$AS$14)</f>
        <v>227448</v>
      </c>
      <c r="F22" s="117"/>
      <c r="G22" s="804">
        <f>SUM(DIS_AB!$G$32:$Z$32)+SUM(DIS_ARP!$F$15:$AS$15)</f>
        <v>124632</v>
      </c>
      <c r="H22"/>
      <c r="I22"/>
      <c r="K22"/>
      <c r="L22"/>
      <c r="M22"/>
      <c r="N22"/>
      <c r="O22"/>
      <c r="P22"/>
    </row>
    <row r="23" spans="2:16" x14ac:dyDescent="0.25">
      <c r="B23" s="792" t="s">
        <v>183</v>
      </c>
      <c r="C23" s="43"/>
      <c r="D23"/>
      <c r="E23" s="803">
        <f>SUM(SMA!$F$27:$Y$27)</f>
        <v>5082.4000000000015</v>
      </c>
      <c r="F23"/>
      <c r="G23" s="803">
        <f>SUM(SMA!$F$28:$Y$28)</f>
        <v>4796</v>
      </c>
      <c r="H23"/>
      <c r="I23"/>
      <c r="K23"/>
      <c r="L23"/>
      <c r="M23"/>
      <c r="N23"/>
      <c r="O23"/>
      <c r="P23"/>
    </row>
    <row r="24" spans="2:16" x14ac:dyDescent="0.25">
      <c r="B24" s="794" t="s">
        <v>184</v>
      </c>
      <c r="C24" s="43"/>
      <c r="D24"/>
      <c r="E24" s="805">
        <f>SUM(GIA_ORD!$G$35:$Z$35)</f>
        <v>23383.256666666664</v>
      </c>
      <c r="F24"/>
      <c r="G24" s="805">
        <f>SUM(GIA_ORD!$G$36:$Z$36)</f>
        <v>20412.385000000002</v>
      </c>
      <c r="H24"/>
      <c r="I24"/>
      <c r="K24"/>
      <c r="L24"/>
      <c r="M24"/>
      <c r="N24"/>
      <c r="O24"/>
      <c r="P24"/>
    </row>
    <row r="25" spans="2:16" x14ac:dyDescent="0.25">
      <c r="B25" s="796" t="s">
        <v>127</v>
      </c>
      <c r="C25" s="44"/>
      <c r="D25"/>
      <c r="E25" s="801">
        <f>SUM(E26:E29)</f>
        <v>1158727.9006666667</v>
      </c>
      <c r="F25"/>
      <c r="G25" s="801">
        <f>SUM(G26:G29)</f>
        <v>964001.14299999992</v>
      </c>
      <c r="H25"/>
      <c r="I25"/>
      <c r="K25"/>
      <c r="L25"/>
      <c r="M25"/>
      <c r="N25"/>
      <c r="O25"/>
      <c r="P25"/>
    </row>
    <row r="26" spans="2:16" x14ac:dyDescent="0.25">
      <c r="B26" s="791" t="s">
        <v>6</v>
      </c>
      <c r="C26" s="43"/>
      <c r="D26"/>
      <c r="E26" s="802">
        <f>SUM(REC!$E$20:$X$20)</f>
        <v>0</v>
      </c>
      <c r="F26"/>
      <c r="G26" s="802">
        <f>SUM(REC!$E$21:$X$21)</f>
        <v>0</v>
      </c>
      <c r="H26"/>
      <c r="I26"/>
      <c r="K26"/>
      <c r="L26"/>
      <c r="M26"/>
      <c r="N26"/>
      <c r="O26"/>
      <c r="P26"/>
    </row>
    <row r="27" spans="2:16" x14ac:dyDescent="0.25">
      <c r="B27" s="792" t="s">
        <v>1</v>
      </c>
      <c r="C27" s="43"/>
      <c r="D27"/>
      <c r="E27" s="803">
        <f>SUM(FAC!$E$20:$X$20)</f>
        <v>1060471.824</v>
      </c>
      <c r="F27"/>
      <c r="G27" s="803">
        <f>SUM(FAC!$E$21:$X$21)</f>
        <v>900839.80799999996</v>
      </c>
      <c r="H27"/>
      <c r="I27"/>
      <c r="K27"/>
      <c r="L27"/>
      <c r="M27"/>
      <c r="N27"/>
      <c r="O27"/>
      <c r="P27"/>
    </row>
    <row r="28" spans="2:16" x14ac:dyDescent="0.25">
      <c r="B28" s="793" t="s">
        <v>0</v>
      </c>
      <c r="C28" s="43"/>
      <c r="D28"/>
      <c r="E28" s="806">
        <f>SUM(TRA!$E$24:$X$24)</f>
        <v>0</v>
      </c>
      <c r="F28"/>
      <c r="G28" s="806">
        <f>SUM(TRA!$E$25:$X$25)</f>
        <v>0</v>
      </c>
      <c r="H28"/>
      <c r="I28"/>
      <c r="K28"/>
      <c r="L28"/>
      <c r="M28"/>
      <c r="N28"/>
      <c r="O28"/>
      <c r="P28"/>
    </row>
    <row r="29" spans="2:16" x14ac:dyDescent="0.25">
      <c r="B29" s="797" t="s">
        <v>121</v>
      </c>
      <c r="C29" s="43"/>
      <c r="D29"/>
      <c r="E29" s="807">
        <f>SUM(EDI!$G$10:$Z$10)</f>
        <v>98256.07666666666</v>
      </c>
      <c r="F29"/>
      <c r="G29" s="807">
        <f>SUM(EDI!$G$11:$Z$11)</f>
        <v>63161.334999999992</v>
      </c>
      <c r="H29"/>
      <c r="I29"/>
      <c r="K29"/>
      <c r="L29"/>
      <c r="M29"/>
      <c r="N29"/>
      <c r="O29"/>
      <c r="P29"/>
    </row>
    <row r="30" spans="2:16" ht="16.5" thickBot="1" x14ac:dyDescent="0.3">
      <c r="B30" s="798" t="s">
        <v>133</v>
      </c>
      <c r="C30" s="43"/>
      <c r="D30"/>
      <c r="E30" s="808">
        <f t="shared" ref="E30" si="2">SUM(E11,E19,E25)</f>
        <v>4201152.1533333324</v>
      </c>
      <c r="F30"/>
      <c r="G30" s="808">
        <f t="shared" ref="G30" si="3">SUM(G11,G19,G25)</f>
        <v>3559977.5559999989</v>
      </c>
      <c r="H30"/>
      <c r="I30" s="30"/>
      <c r="K30"/>
      <c r="L30"/>
      <c r="M30"/>
      <c r="N30"/>
      <c r="O30"/>
      <c r="P30"/>
    </row>
    <row r="31" spans="2:16" ht="14.45" customHeight="1" x14ac:dyDescent="0.3">
      <c r="B31" s="822" t="s">
        <v>128</v>
      </c>
      <c r="C31" s="45"/>
      <c r="D31" s="40"/>
      <c r="E31" s="828">
        <f>'Appalto Specifico BA'!$E$24*AS_CalcoloPE!E30</f>
        <v>1122075.4717593384</v>
      </c>
      <c r="F31" s="40"/>
      <c r="G31" s="828">
        <f>'Appalto Specifico BA'!$E$24*AS_CalcoloPE!G30</f>
        <v>950825.71394895494</v>
      </c>
      <c r="H31"/>
      <c r="I31"/>
      <c r="K31"/>
      <c r="L31"/>
      <c r="M31"/>
      <c r="N31"/>
      <c r="O31"/>
      <c r="P31"/>
    </row>
    <row r="32" spans="2:16" ht="15.95" customHeight="1" thickBot="1" x14ac:dyDescent="0.35">
      <c r="B32" s="823" t="s">
        <v>134</v>
      </c>
      <c r="C32" s="46"/>
      <c r="D32" s="40"/>
      <c r="E32" s="808">
        <f>IF(E31&gt;(0.3*E30),"Non corretto",E31)</f>
        <v>1122075.4717593384</v>
      </c>
      <c r="F32" s="40"/>
      <c r="G32" s="808">
        <f>IF(G31&gt;(0.3*G30),"Non corretto",G31)</f>
        <v>950825.71394895494</v>
      </c>
      <c r="H32"/>
      <c r="I32"/>
      <c r="K32"/>
      <c r="L32"/>
      <c r="M32"/>
      <c r="N32"/>
      <c r="O32"/>
      <c r="P32"/>
    </row>
    <row r="33" spans="1:16" ht="3.6" customHeight="1" x14ac:dyDescent="0.3">
      <c r="B33" s="824"/>
      <c r="D33" s="40"/>
      <c r="F33" s="40"/>
      <c r="G33" s="829"/>
      <c r="H33"/>
      <c r="I33"/>
      <c r="K33"/>
      <c r="L33"/>
      <c r="M33"/>
      <c r="N33"/>
      <c r="O33"/>
      <c r="P33"/>
    </row>
    <row r="34" spans="1:16" ht="18.95" customHeight="1" thickBot="1" x14ac:dyDescent="0.35">
      <c r="B34" s="825" t="s">
        <v>135</v>
      </c>
      <c r="C34" s="47"/>
      <c r="D34" s="40"/>
      <c r="E34" s="442">
        <f>IF(E32="Non corretto","NC",SUM(E30,E32))</f>
        <v>5323227.6250926703</v>
      </c>
      <c r="F34" s="40"/>
      <c r="G34" s="830">
        <f>IF(G32="Non corretto","NC",SUM(G30,G32))</f>
        <v>4510803.2699489538</v>
      </c>
      <c r="H34"/>
      <c r="I34"/>
      <c r="K34"/>
      <c r="L34"/>
      <c r="M34"/>
      <c r="N34"/>
      <c r="O34"/>
      <c r="P34"/>
    </row>
    <row r="35" spans="1:16" ht="20.100000000000001" customHeight="1" x14ac:dyDescent="0.3">
      <c r="B35" s="40"/>
      <c r="C35" s="41"/>
      <c r="E35" s="59" t="s">
        <v>154</v>
      </c>
      <c r="G35" s="59" t="s">
        <v>155</v>
      </c>
      <c r="K35" s="40"/>
      <c r="L35" s="40"/>
      <c r="M35" s="40"/>
      <c r="N35" s="40"/>
    </row>
    <row r="36" spans="1:16" ht="20.100000000000001" customHeight="1" x14ac:dyDescent="0.3">
      <c r="B36" s="40"/>
      <c r="C36" s="41"/>
      <c r="D36" s="116"/>
      <c r="E36" s="60">
        <f>1-(E30/'Appalto Specifico BA'!$C$23)</f>
        <v>0.34455801819958265</v>
      </c>
      <c r="F36" s="116"/>
      <c r="G36" s="60">
        <f>1-(G30/'Appalto Specifico BA'!$C$23)</f>
        <v>0.44459075527215031</v>
      </c>
      <c r="K36" s="40"/>
      <c r="L36" s="40"/>
      <c r="M36" s="40"/>
      <c r="N36" s="40"/>
    </row>
    <row r="37" spans="1:16" ht="8.1" customHeight="1" x14ac:dyDescent="0.3">
      <c r="B37" s="40"/>
      <c r="C37" s="41"/>
      <c r="D37" s="40"/>
      <c r="E37" s="40"/>
      <c r="F37" s="40"/>
      <c r="G37" s="40"/>
      <c r="H37" s="40"/>
      <c r="I37" s="40"/>
      <c r="K37" s="40"/>
      <c r="L37" s="40"/>
      <c r="M37" s="40"/>
      <c r="N37" s="40"/>
      <c r="O37" s="40"/>
      <c r="P37" s="40"/>
    </row>
    <row r="38" spans="1:16" ht="32.1" customHeight="1" thickBot="1" x14ac:dyDescent="0.3">
      <c r="A38" s="433" t="s">
        <v>1238</v>
      </c>
      <c r="B38" s="919" t="s">
        <v>161</v>
      </c>
      <c r="C38" s="919"/>
      <c r="D38" s="919"/>
      <c r="E38" s="919"/>
      <c r="F38" s="919"/>
      <c r="G38" s="919"/>
      <c r="H38" s="919"/>
      <c r="I38" s="919"/>
      <c r="J38" s="919"/>
      <c r="K38" s="919"/>
      <c r="L38" s="919"/>
    </row>
    <row r="39" spans="1:16" ht="15.75" thickBot="1" x14ac:dyDescent="0.3">
      <c r="A39" s="6" t="s">
        <v>9</v>
      </c>
      <c r="B39" s="8" t="s">
        <v>10</v>
      </c>
      <c r="D39" s="6" t="s">
        <v>52</v>
      </c>
      <c r="E39" s="7" t="s">
        <v>51</v>
      </c>
      <c r="G39" s="443" t="s">
        <v>143</v>
      </c>
      <c r="H39" s="443" t="s">
        <v>144</v>
      </c>
      <c r="K39" s="443" t="s">
        <v>160</v>
      </c>
      <c r="L39" s="443" t="s">
        <v>145</v>
      </c>
    </row>
    <row r="40" spans="1:16" ht="36.75" thickBot="1" x14ac:dyDescent="0.3">
      <c r="A40" s="18">
        <v>8</v>
      </c>
      <c r="B40" s="11" t="s">
        <v>209</v>
      </c>
      <c r="D40" s="20">
        <f>IF(SUM('Appalto Specifico BA'!C5:C6)&gt;0,'Tabella PE'!F10,0)</f>
        <v>2.3530000000000002</v>
      </c>
      <c r="E40" s="12" t="s">
        <v>42</v>
      </c>
      <c r="G40" s="48">
        <f>'Ribassi PE'!K10</f>
        <v>0.42</v>
      </c>
      <c r="H40" s="49">
        <f t="shared" ref="H40:H51" si="4">G40*$D40</f>
        <v>0.98826000000000003</v>
      </c>
      <c r="K40" s="48">
        <f>'Ribassi PE'!M10</f>
        <v>0.56000000000000005</v>
      </c>
      <c r="L40" s="49">
        <f t="shared" ref="L40:L51" si="5">K40*$D40</f>
        <v>1.3176800000000002</v>
      </c>
    </row>
    <row r="41" spans="1:16" ht="48.75" thickBot="1" x14ac:dyDescent="0.3">
      <c r="A41" s="18">
        <v>9</v>
      </c>
      <c r="B41" s="11" t="s">
        <v>210</v>
      </c>
      <c r="D41" s="20">
        <f>IF(SUM('Appalto Specifico BA'!C7:C8)&gt;0,'Tabella PE'!F11,0)</f>
        <v>1.18</v>
      </c>
      <c r="E41" s="12" t="s">
        <v>43</v>
      </c>
      <c r="G41" s="48">
        <f>'Ribassi PE'!K11</f>
        <v>0.42</v>
      </c>
      <c r="H41" s="49">
        <f t="shared" si="4"/>
        <v>0.49559999999999993</v>
      </c>
      <c r="K41" s="48">
        <f>'Ribassi PE'!M11</f>
        <v>0.53</v>
      </c>
      <c r="L41" s="49">
        <f t="shared" si="5"/>
        <v>0.62539999999999996</v>
      </c>
    </row>
    <row r="42" spans="1:16" ht="36.75" thickBot="1" x14ac:dyDescent="0.3">
      <c r="A42" s="18">
        <v>10</v>
      </c>
      <c r="B42" s="11" t="s">
        <v>211</v>
      </c>
      <c r="D42" s="20">
        <f>IF('Appalto Specifico BA'!C9&gt;0,'Tabella PE'!F12,0)</f>
        <v>0</v>
      </c>
      <c r="E42" s="12" t="s">
        <v>44</v>
      </c>
      <c r="G42" s="48">
        <f>'Ribassi PE'!K12</f>
        <v>0.42</v>
      </c>
      <c r="H42" s="49">
        <f t="shared" si="4"/>
        <v>0</v>
      </c>
      <c r="K42" s="48">
        <f>'Ribassi PE'!M12</f>
        <v>0.32</v>
      </c>
      <c r="L42" s="49">
        <f t="shared" si="5"/>
        <v>0</v>
      </c>
    </row>
    <row r="43" spans="1:16" ht="36.75" thickBot="1" x14ac:dyDescent="0.3">
      <c r="A43" s="18">
        <v>11</v>
      </c>
      <c r="B43" s="11" t="s">
        <v>212</v>
      </c>
      <c r="D43" s="20">
        <f>IF('Appalto Specifico BA'!C10&gt;0,'Tabella PE'!F13,0)</f>
        <v>0</v>
      </c>
      <c r="E43" s="12" t="s">
        <v>47</v>
      </c>
      <c r="G43" s="48">
        <f>'Ribassi PE'!K13</f>
        <v>0.42</v>
      </c>
      <c r="H43" s="49">
        <f t="shared" si="4"/>
        <v>0</v>
      </c>
      <c r="K43" s="48">
        <f>'Ribassi PE'!M13</f>
        <v>0.5</v>
      </c>
      <c r="L43" s="49">
        <f t="shared" si="5"/>
        <v>0</v>
      </c>
    </row>
    <row r="44" spans="1:16" ht="24.75" thickBot="1" x14ac:dyDescent="0.3">
      <c r="A44" s="19">
        <v>20</v>
      </c>
      <c r="B44" s="11" t="s">
        <v>228</v>
      </c>
      <c r="D44" s="20">
        <f>IF('Appalto Specifico BA'!C13&gt;0,'Tabella PE'!F28,0)</f>
        <v>0.35199999999999998</v>
      </c>
      <c r="E44" s="12" t="s">
        <v>56</v>
      </c>
      <c r="G44" s="48">
        <f>'Ribassi PE'!K28</f>
        <v>0.27</v>
      </c>
      <c r="H44" s="49">
        <f t="shared" si="4"/>
        <v>9.5039999999999999E-2</v>
      </c>
      <c r="K44" s="48">
        <f>'Ribassi PE'!M28</f>
        <v>0.6</v>
      </c>
      <c r="L44" s="49">
        <f t="shared" si="5"/>
        <v>0.21119999999999997</v>
      </c>
    </row>
    <row r="45" spans="1:16" ht="24.75" thickBot="1" x14ac:dyDescent="0.3">
      <c r="A45" s="19">
        <v>23</v>
      </c>
      <c r="B45" s="11" t="s">
        <v>60</v>
      </c>
      <c r="D45" s="20">
        <f>IF('Appalto Specifico BA'!C15&gt;0,'Tabella PE'!F31,0)</f>
        <v>6.8000000000000005E-2</v>
      </c>
      <c r="E45" s="12" t="s">
        <v>131</v>
      </c>
      <c r="G45" s="48">
        <f>'Ribassi PE'!K31</f>
        <v>0.87</v>
      </c>
      <c r="H45" s="49">
        <f t="shared" si="4"/>
        <v>5.9160000000000004E-2</v>
      </c>
      <c r="K45" s="48">
        <f>'Ribassi PE'!M31</f>
        <v>0.6</v>
      </c>
      <c r="L45" s="49">
        <f t="shared" si="5"/>
        <v>4.0800000000000003E-2</v>
      </c>
    </row>
    <row r="46" spans="1:16" ht="24.75" thickBot="1" x14ac:dyDescent="0.3">
      <c r="A46" s="19">
        <v>25</v>
      </c>
      <c r="B46" s="11" t="s">
        <v>230</v>
      </c>
      <c r="D46" s="20">
        <f>IF('Appalto Specifico BA'!C16&gt;0,'Tabella PE'!F33,0)</f>
        <v>0.2</v>
      </c>
      <c r="E46" s="12" t="s">
        <v>45</v>
      </c>
      <c r="G46" s="48">
        <f>'Ribassi PE'!K33</f>
        <v>0.87</v>
      </c>
      <c r="H46" s="49">
        <f t="shared" si="4"/>
        <v>0.17400000000000002</v>
      </c>
      <c r="K46" s="48">
        <f>'Ribassi PE'!M33</f>
        <v>0.5</v>
      </c>
      <c r="L46" s="49">
        <f t="shared" si="5"/>
        <v>0.1</v>
      </c>
    </row>
    <row r="47" spans="1:16" ht="36.75" thickBot="1" x14ac:dyDescent="0.3">
      <c r="A47" s="19">
        <v>27</v>
      </c>
      <c r="B47" s="11" t="s">
        <v>232</v>
      </c>
      <c r="D47" s="20">
        <f>IF('Appalto Specifico BA'!C17&gt;0,'Tabella PE'!F35,0)</f>
        <v>0.126</v>
      </c>
      <c r="E47" s="12" t="s">
        <v>24</v>
      </c>
      <c r="G47" s="48">
        <f>'Ribassi PE'!K35</f>
        <v>0.87</v>
      </c>
      <c r="H47" s="49">
        <f t="shared" si="4"/>
        <v>0.10962</v>
      </c>
      <c r="K47" s="48">
        <f>'Ribassi PE'!M35</f>
        <v>0.45</v>
      </c>
      <c r="L47" s="49">
        <f t="shared" si="5"/>
        <v>5.67E-2</v>
      </c>
    </row>
    <row r="48" spans="1:16" ht="36.75" thickBot="1" x14ac:dyDescent="0.3">
      <c r="A48" s="18">
        <v>32</v>
      </c>
      <c r="B48" s="11" t="s">
        <v>234</v>
      </c>
      <c r="D48" s="20">
        <f>IF('Appalto Specifico BA'!E20="si",'Tabella PE'!F40,0)</f>
        <v>0.30299999999999999</v>
      </c>
      <c r="E48" s="12" t="s">
        <v>68</v>
      </c>
      <c r="G48" s="48">
        <f>'Ribassi PE'!K40</f>
        <v>0.87</v>
      </c>
      <c r="H48" s="49">
        <f t="shared" si="4"/>
        <v>0.26361000000000001</v>
      </c>
      <c r="K48" s="48">
        <f>'Ribassi PE'!M40</f>
        <v>0.2</v>
      </c>
      <c r="L48" s="49">
        <f t="shared" si="5"/>
        <v>6.0600000000000001E-2</v>
      </c>
    </row>
    <row r="49" spans="1:14" ht="24.75" thickBot="1" x14ac:dyDescent="0.3">
      <c r="A49" s="18">
        <v>33</v>
      </c>
      <c r="B49" s="11" t="s">
        <v>67</v>
      </c>
      <c r="D49" s="20">
        <f>IF('Appalto Specifico BA'!E21="si",'Tabella PE'!F41,0)</f>
        <v>0</v>
      </c>
      <c r="E49" s="12" t="s">
        <v>132</v>
      </c>
      <c r="G49" s="48">
        <f>'Ribassi PE'!K41</f>
        <v>0.87</v>
      </c>
      <c r="H49" s="49">
        <f t="shared" si="4"/>
        <v>0</v>
      </c>
      <c r="K49" s="48">
        <f>'Ribassi PE'!M41</f>
        <v>0.2</v>
      </c>
      <c r="L49" s="49">
        <f t="shared" si="5"/>
        <v>0</v>
      </c>
    </row>
    <row r="50" spans="1:14" ht="36.75" thickBot="1" x14ac:dyDescent="0.3">
      <c r="A50" s="18">
        <v>35</v>
      </c>
      <c r="B50" s="11" t="s">
        <v>235</v>
      </c>
      <c r="D50" s="20">
        <f>IF('Appalto Specifico BA'!C22&gt;0,'Tabella PE'!F43,0)</f>
        <v>0.26800000000000002</v>
      </c>
      <c r="E50" s="12" t="s">
        <v>72</v>
      </c>
      <c r="G50" s="48">
        <f>'Ribassi PE'!K43</f>
        <v>0.4</v>
      </c>
      <c r="H50" s="49">
        <f t="shared" si="4"/>
        <v>0.10720000000000002</v>
      </c>
      <c r="K50" s="48">
        <f>'Ribassi PE'!M43</f>
        <v>0.53</v>
      </c>
      <c r="L50" s="49">
        <f t="shared" si="5"/>
        <v>0.14204000000000003</v>
      </c>
    </row>
    <row r="51" spans="1:14" ht="24.75" thickBot="1" x14ac:dyDescent="0.3">
      <c r="A51" s="18">
        <v>38</v>
      </c>
      <c r="B51" s="11" t="s">
        <v>239</v>
      </c>
      <c r="D51" s="20">
        <f>'Tabella PE'!F46</f>
        <v>1.415</v>
      </c>
      <c r="E51" s="12" t="s">
        <v>48</v>
      </c>
      <c r="G51" s="48">
        <f>'Ribassi PE'!K46</f>
        <v>0.37</v>
      </c>
      <c r="H51" s="49">
        <f t="shared" si="4"/>
        <v>0.52354999999999996</v>
      </c>
      <c r="K51" s="48">
        <f>'Ribassi PE'!M46</f>
        <v>0.2</v>
      </c>
      <c r="L51" s="49">
        <f t="shared" si="5"/>
        <v>0.28300000000000003</v>
      </c>
    </row>
    <row r="52" spans="1:14" ht="15.75" thickBot="1" x14ac:dyDescent="0.3">
      <c r="B52" s="444" t="s">
        <v>181</v>
      </c>
      <c r="D52" s="445">
        <f>SUM(D40:D51)</f>
        <v>6.2650000000000006</v>
      </c>
      <c r="H52" s="445">
        <f>SUM(H40:H51)</f>
        <v>2.8160400000000001</v>
      </c>
      <c r="L52" s="445">
        <f>SUM(L40:L51)</f>
        <v>2.8374200000000003</v>
      </c>
    </row>
    <row r="53" spans="1:14" ht="20.100000000000001" customHeight="1" x14ac:dyDescent="0.3">
      <c r="B53" s="40"/>
      <c r="C53" s="41"/>
      <c r="D53" s="40"/>
      <c r="E53" s="40"/>
      <c r="F53" s="40"/>
      <c r="G53" s="59" t="s">
        <v>153</v>
      </c>
      <c r="H53" s="60">
        <f>H52/$D$52</f>
        <v>0.449487629688747</v>
      </c>
      <c r="K53" s="59" t="s">
        <v>156</v>
      </c>
      <c r="L53" s="60">
        <f>L52/$D$52</f>
        <v>0.4529002394253791</v>
      </c>
      <c r="M53" s="40"/>
      <c r="N53" s="40"/>
    </row>
  </sheetData>
  <sheetProtection algorithmName="SHA-512" hashValue="8G5/rM03WoLH26WAFFVFotJM8rWi4LJvVHzTUDiy2Jfl4Vr4GeGMfZv58zxdhQDqj/9IqGEU3kja47mKJmVcrA==" saltValue="TY4TT6mhr15dLm4h3BN0Dw==" spinCount="100000" sheet="1" objects="1" scenarios="1"/>
  <mergeCells count="13">
    <mergeCell ref="B1:P1"/>
    <mergeCell ref="B8:G8"/>
    <mergeCell ref="B38:L38"/>
    <mergeCell ref="D2:I2"/>
    <mergeCell ref="K2:P2"/>
    <mergeCell ref="M5:O5"/>
    <mergeCell ref="M6:O6"/>
    <mergeCell ref="F3:H3"/>
    <mergeCell ref="F4:H4"/>
    <mergeCell ref="F5:H5"/>
    <mergeCell ref="F6:H6"/>
    <mergeCell ref="M3:O3"/>
    <mergeCell ref="M4:O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rgb="FFFFFF00"/>
  </sheetPr>
  <dimension ref="A1:AZ189"/>
  <sheetViews>
    <sheetView zoomScale="90" zoomScaleNormal="90" workbookViewId="0">
      <pane xSplit="7" topLeftCell="J1" activePane="topRight" state="frozen"/>
      <selection activeCell="G15" sqref="G15"/>
      <selection pane="topRight" activeCell="G15" sqref="G15"/>
    </sheetView>
  </sheetViews>
  <sheetFormatPr defaultRowHeight="15" x14ac:dyDescent="0.25"/>
  <cols>
    <col min="1" max="1" width="11.28515625" bestFit="1" customWidth="1"/>
    <col min="2" max="2" width="32.42578125" bestFit="1" customWidth="1"/>
    <col min="3" max="3" width="2.5703125" style="29" customWidth="1"/>
    <col min="4" max="4" width="23.85546875" style="1" bestFit="1" customWidth="1"/>
    <col min="5" max="5" width="18.5703125" style="1" bestFit="1" customWidth="1"/>
    <col min="6" max="8" width="17.42578125" style="1" customWidth="1"/>
    <col min="9" max="9" width="22.140625" style="1" customWidth="1"/>
    <col min="10" max="30" width="15.85546875" customWidth="1"/>
    <col min="31" max="31" width="20.42578125" customWidth="1"/>
    <col min="32" max="53" width="8.7109375" customWidth="1"/>
  </cols>
  <sheetData>
    <row r="1" spans="1:9" ht="32.1" customHeight="1" thickBot="1" x14ac:dyDescent="0.3">
      <c r="A1" s="446" t="s">
        <v>1239</v>
      </c>
      <c r="B1" s="927" t="s">
        <v>241</v>
      </c>
      <c r="C1" s="927"/>
      <c r="D1" s="927"/>
      <c r="E1" s="927"/>
      <c r="F1" s="927"/>
      <c r="G1" s="927"/>
    </row>
    <row r="2" spans="1:9" s="40" customFormat="1" ht="24" thickBot="1" x14ac:dyDescent="0.4">
      <c r="B2" s="941" t="str">
        <f>'Punteggi PT'!I2</f>
        <v>FORNITORE 1</v>
      </c>
      <c r="C2" s="942"/>
      <c r="D2" s="942"/>
      <c r="E2" s="942"/>
      <c r="F2" s="942"/>
      <c r="G2" s="943"/>
    </row>
    <row r="3" spans="1:9" ht="21.75" thickBot="1" x14ac:dyDescent="0.3">
      <c r="B3" s="935" t="s">
        <v>248</v>
      </c>
      <c r="C3" s="936"/>
      <c r="D3" s="936"/>
      <c r="E3" s="936"/>
      <c r="F3" s="937"/>
      <c r="G3" s="447">
        <f>'AS_Calcolo PT'!M39</f>
        <v>31.954999999999998</v>
      </c>
      <c r="H3"/>
      <c r="I3"/>
    </row>
    <row r="4" spans="1:9" ht="21.75" thickBot="1" x14ac:dyDescent="0.3">
      <c r="B4" s="935" t="s">
        <v>242</v>
      </c>
      <c r="C4" s="936"/>
      <c r="D4" s="936"/>
      <c r="E4" s="936"/>
      <c r="F4" s="937"/>
      <c r="G4" s="447">
        <f>'AS_Calcolo PT'!M40</f>
        <v>33.293999999999997</v>
      </c>
      <c r="H4"/>
      <c r="I4"/>
    </row>
    <row r="5" spans="1:9" ht="21.75" thickBot="1" x14ac:dyDescent="0.3">
      <c r="B5" s="935" t="s">
        <v>159</v>
      </c>
      <c r="C5" s="936"/>
      <c r="D5" s="936"/>
      <c r="E5" s="936"/>
      <c r="F5" s="937"/>
      <c r="G5" s="447">
        <f>AS_CalcoloPE!I6</f>
        <v>27.190999999999999</v>
      </c>
      <c r="H5"/>
      <c r="I5"/>
    </row>
    <row r="6" spans="1:9" ht="24" thickBot="1" x14ac:dyDescent="0.3">
      <c r="B6" s="938" t="s">
        <v>1240</v>
      </c>
      <c r="C6" s="939"/>
      <c r="D6" s="939"/>
      <c r="E6" s="939"/>
      <c r="F6" s="940"/>
      <c r="G6" s="434">
        <f>SUM(G3:G5)</f>
        <v>92.44</v>
      </c>
      <c r="H6"/>
      <c r="I6"/>
    </row>
    <row r="7" spans="1:9" ht="15.75" thickBot="1" x14ac:dyDescent="0.3">
      <c r="B7" s="1"/>
      <c r="C7" s="1"/>
      <c r="H7"/>
      <c r="I7"/>
    </row>
    <row r="8" spans="1:9" s="40" customFormat="1" ht="24" thickBot="1" x14ac:dyDescent="0.4">
      <c r="B8" s="941" t="str">
        <f>'Punteggi PT'!J2</f>
        <v>FORNITORE 2</v>
      </c>
      <c r="C8" s="942"/>
      <c r="D8" s="942"/>
      <c r="E8" s="942"/>
      <c r="F8" s="942"/>
      <c r="G8" s="943"/>
    </row>
    <row r="9" spans="1:9" ht="21.75" thickBot="1" x14ac:dyDescent="0.3">
      <c r="B9" s="935" t="s">
        <v>249</v>
      </c>
      <c r="C9" s="936"/>
      <c r="D9" s="936"/>
      <c r="E9" s="936"/>
      <c r="F9" s="937"/>
      <c r="G9" s="447">
        <f>'AS_Calcolo PT'!N39</f>
        <v>27.404999999999998</v>
      </c>
      <c r="H9"/>
      <c r="I9"/>
    </row>
    <row r="10" spans="1:9" ht="21.75" thickBot="1" x14ac:dyDescent="0.3">
      <c r="B10" s="935" t="s">
        <v>243</v>
      </c>
      <c r="C10" s="936"/>
      <c r="D10" s="936"/>
      <c r="E10" s="936"/>
      <c r="F10" s="937"/>
      <c r="G10" s="447">
        <f>'AS_Calcolo PT'!N40</f>
        <v>31.160999999999998</v>
      </c>
      <c r="H10"/>
      <c r="I10"/>
    </row>
    <row r="11" spans="1:9" ht="21.75" thickBot="1" x14ac:dyDescent="0.3">
      <c r="B11" s="935" t="s">
        <v>158</v>
      </c>
      <c r="C11" s="936"/>
      <c r="D11" s="936"/>
      <c r="E11" s="936"/>
      <c r="F11" s="937"/>
      <c r="G11" s="447">
        <f>AS_CalcoloPE!P6</f>
        <v>30</v>
      </c>
      <c r="H11"/>
      <c r="I11"/>
    </row>
    <row r="12" spans="1:9" ht="24" thickBot="1" x14ac:dyDescent="0.3">
      <c r="B12" s="938" t="s">
        <v>1241</v>
      </c>
      <c r="C12" s="939"/>
      <c r="D12" s="939"/>
      <c r="E12" s="939"/>
      <c r="F12" s="940"/>
      <c r="G12" s="434">
        <f>SUM(G9:G11)</f>
        <v>88.566000000000003</v>
      </c>
      <c r="H12"/>
      <c r="I12"/>
    </row>
    <row r="13" spans="1:9" ht="23.25" x14ac:dyDescent="0.25">
      <c r="B13" s="88"/>
      <c r="C13" s="88"/>
      <c r="D13" s="88"/>
      <c r="E13" s="88"/>
      <c r="F13" s="88"/>
      <c r="G13" s="87"/>
      <c r="H13"/>
      <c r="I13"/>
    </row>
    <row r="14" spans="1:9" ht="32.1" customHeight="1" thickBot="1" x14ac:dyDescent="0.3">
      <c r="A14" s="928" t="s">
        <v>245</v>
      </c>
      <c r="B14" s="928"/>
      <c r="C14" s="928"/>
      <c r="D14" s="928"/>
      <c r="E14" s="928"/>
      <c r="F14" s="928"/>
      <c r="G14" s="928"/>
    </row>
    <row r="15" spans="1:9" ht="24" thickBot="1" x14ac:dyDescent="0.4">
      <c r="A15" s="448" t="s">
        <v>246</v>
      </c>
      <c r="B15" s="929" t="str">
        <f>IF(G6&gt;G12,B2,B8)</f>
        <v>FORNITORE 1</v>
      </c>
      <c r="C15" s="930"/>
      <c r="D15" s="930"/>
      <c r="E15" s="930"/>
      <c r="F15" s="931"/>
      <c r="G15" s="449">
        <f>IF(G6&gt;G12,G6,G12)</f>
        <v>92.44</v>
      </c>
      <c r="H15" s="88"/>
      <c r="I15" s="87"/>
    </row>
    <row r="16" spans="1:9" ht="24" thickBot="1" x14ac:dyDescent="0.4">
      <c r="A16" s="448" t="s">
        <v>247</v>
      </c>
      <c r="B16" s="932" t="str">
        <f>IF(G6&lt;G12,B2,B8)</f>
        <v>FORNITORE 2</v>
      </c>
      <c r="C16" s="933"/>
      <c r="D16" s="933"/>
      <c r="E16" s="933"/>
      <c r="F16" s="934"/>
      <c r="G16" s="449">
        <f>IF(G6&lt;G12,G6,G12)</f>
        <v>88.566000000000003</v>
      </c>
      <c r="H16" s="88"/>
      <c r="I16" s="87"/>
    </row>
    <row r="17" spans="1:51" ht="21" x14ac:dyDescent="0.25">
      <c r="C17"/>
      <c r="D17" s="86"/>
      <c r="E17" s="86"/>
      <c r="F17" s="86"/>
      <c r="G17" s="86"/>
      <c r="H17" s="86"/>
      <c r="I17" s="87"/>
    </row>
    <row r="18" spans="1:51" ht="32.1" customHeight="1" thickBot="1" x14ac:dyDescent="0.3">
      <c r="A18" s="928" t="s">
        <v>244</v>
      </c>
      <c r="B18" s="928"/>
      <c r="C18" s="928"/>
      <c r="D18" s="928"/>
    </row>
    <row r="19" spans="1:51" ht="15.75" thickBot="1" x14ac:dyDescent="0.3">
      <c r="D19" s="821" t="s">
        <v>130</v>
      </c>
      <c r="F19"/>
      <c r="G19"/>
      <c r="H19"/>
      <c r="I19"/>
      <c r="K19" s="263" t="s">
        <v>308</v>
      </c>
      <c r="L19" s="263" t="s">
        <v>309</v>
      </c>
      <c r="M19" s="263" t="s">
        <v>310</v>
      </c>
      <c r="N19" s="263" t="s">
        <v>311</v>
      </c>
      <c r="O19" s="263" t="s">
        <v>312</v>
      </c>
      <c r="P19" s="263" t="s">
        <v>313</v>
      </c>
      <c r="Q19" s="263" t="s">
        <v>314</v>
      </c>
      <c r="R19" s="263" t="s">
        <v>315</v>
      </c>
      <c r="S19" s="263" t="s">
        <v>316</v>
      </c>
      <c r="T19" s="263" t="s">
        <v>317</v>
      </c>
      <c r="U19" s="263" t="s">
        <v>318</v>
      </c>
      <c r="V19" s="263" t="s">
        <v>319</v>
      </c>
      <c r="W19" s="263" t="s">
        <v>320</v>
      </c>
      <c r="X19" s="263" t="s">
        <v>321</v>
      </c>
      <c r="Y19" s="263" t="s">
        <v>322</v>
      </c>
      <c r="Z19" s="263" t="s">
        <v>323</v>
      </c>
      <c r="AA19" s="263" t="s">
        <v>324</v>
      </c>
      <c r="AB19" s="263" t="s">
        <v>325</v>
      </c>
      <c r="AC19" s="263" t="s">
        <v>326</v>
      </c>
      <c r="AD19" s="263" t="s">
        <v>327</v>
      </c>
      <c r="AF19" s="263" t="s">
        <v>308</v>
      </c>
      <c r="AG19" s="263" t="s">
        <v>309</v>
      </c>
      <c r="AH19" s="263" t="s">
        <v>310</v>
      </c>
      <c r="AI19" s="263" t="s">
        <v>311</v>
      </c>
      <c r="AJ19" s="263" t="s">
        <v>312</v>
      </c>
      <c r="AK19" s="263" t="s">
        <v>313</v>
      </c>
      <c r="AL19" s="263" t="s">
        <v>314</v>
      </c>
      <c r="AM19" s="263" t="s">
        <v>315</v>
      </c>
      <c r="AN19" s="263" t="s">
        <v>316</v>
      </c>
      <c r="AO19" s="263" t="s">
        <v>317</v>
      </c>
      <c r="AP19" s="263" t="s">
        <v>318</v>
      </c>
      <c r="AQ19" s="263" t="s">
        <v>319</v>
      </c>
      <c r="AR19" s="263" t="s">
        <v>320</v>
      </c>
      <c r="AS19" s="263" t="s">
        <v>321</v>
      </c>
      <c r="AT19" s="263" t="s">
        <v>322</v>
      </c>
      <c r="AU19" s="263" t="s">
        <v>323</v>
      </c>
      <c r="AV19" s="263" t="s">
        <v>324</v>
      </c>
      <c r="AW19" s="263" t="s">
        <v>325</v>
      </c>
      <c r="AX19" s="263" t="s">
        <v>326</v>
      </c>
      <c r="AY19" s="263" t="s">
        <v>327</v>
      </c>
    </row>
    <row r="20" spans="1:51" x14ac:dyDescent="0.25">
      <c r="B20" s="790" t="s">
        <v>123</v>
      </c>
      <c r="C20" s="44"/>
      <c r="D20" s="801">
        <f>SUM(D21:D27)</f>
        <v>1269383.9080000001</v>
      </c>
      <c r="E20"/>
      <c r="F20"/>
      <c r="G20"/>
      <c r="H20"/>
      <c r="I20"/>
      <c r="K20" s="366"/>
      <c r="L20" s="366"/>
      <c r="M20" s="366"/>
      <c r="N20" s="366"/>
      <c r="O20" s="366"/>
      <c r="P20" s="366"/>
      <c r="Q20" s="366"/>
      <c r="R20" s="366"/>
      <c r="S20" s="366"/>
      <c r="T20" s="366"/>
      <c r="U20" s="366"/>
      <c r="V20" s="366"/>
      <c r="W20" s="366"/>
      <c r="X20" s="366"/>
      <c r="Y20" s="366"/>
      <c r="Z20" s="366"/>
      <c r="AA20" s="366"/>
      <c r="AB20" s="366"/>
      <c r="AC20" s="366"/>
      <c r="AD20" s="366"/>
      <c r="AF20" s="366"/>
      <c r="AG20" s="366"/>
      <c r="AH20" s="366"/>
      <c r="AI20" s="366"/>
      <c r="AJ20" s="366"/>
      <c r="AK20" s="366"/>
      <c r="AL20" s="366"/>
      <c r="AM20" s="366"/>
      <c r="AN20" s="366"/>
      <c r="AO20" s="366"/>
      <c r="AP20" s="366"/>
      <c r="AQ20" s="366"/>
      <c r="AR20" s="366"/>
      <c r="AS20" s="366"/>
      <c r="AT20" s="366"/>
      <c r="AU20" s="366"/>
      <c r="AV20" s="366"/>
      <c r="AW20" s="366"/>
      <c r="AX20" s="366"/>
      <c r="AY20" s="366"/>
    </row>
    <row r="21" spans="1:51" x14ac:dyDescent="0.25">
      <c r="B21" s="791" t="s">
        <v>2</v>
      </c>
      <c r="C21" s="799"/>
      <c r="D21" s="802">
        <f>IF($B$15=AS_CalcoloPE!$D$2,AS_CalcoloPE!E12,AS_CalcoloPE!G12)</f>
        <v>126217.03999999998</v>
      </c>
      <c r="E21"/>
      <c r="F21"/>
      <c r="G21"/>
      <c r="H21"/>
      <c r="I21"/>
      <c r="J21" s="117"/>
      <c r="K21" s="349">
        <f>IF($B$15=AS_CalcoloPE!$D$2,HLOOKUP(K$19,ELT!G$2:G$25,23,FALSE),HLOOKUP(K$19,ELT!G$2:G$25,24,FALSE))</f>
        <v>126217.03999999998</v>
      </c>
      <c r="L21" s="349">
        <f>IF($B$15=AS_CalcoloPE!$D$2,HLOOKUP(L$19,ELT!H$2:H$25,23,FALSE),HLOOKUP(L$19,ELT!H$2:H$25,24,FALSE))</f>
        <v>0</v>
      </c>
      <c r="M21" s="349">
        <f>IF($B$15=AS_CalcoloPE!$D$2,HLOOKUP(M$19,ELT!I$2:I$25,23,FALSE),HLOOKUP(M$19,ELT!I$2:I$25,24,FALSE))</f>
        <v>0</v>
      </c>
      <c r="N21" s="349">
        <f>IF($B$15=AS_CalcoloPE!$D$2,HLOOKUP(N$19,ELT!J$2:J$25,23,FALSE),HLOOKUP(N$19,ELT!J$2:J$25,24,FALSE))</f>
        <v>0</v>
      </c>
      <c r="O21" s="349">
        <f>IF($B$15=AS_CalcoloPE!$D$2,HLOOKUP(O$19,ELT!K$2:K$25,23,FALSE),HLOOKUP(O$19,ELT!K$2:K$25,24,FALSE))</f>
        <v>0</v>
      </c>
      <c r="P21" s="349">
        <f>IF($B$15=AS_CalcoloPE!$D$2,HLOOKUP(P$19,ELT!L$2:L$25,23,FALSE),HLOOKUP(P$19,ELT!L$2:L$25,24,FALSE))</f>
        <v>0</v>
      </c>
      <c r="Q21" s="349">
        <f>IF($B$15=AS_CalcoloPE!$D$2,HLOOKUP(Q$19,ELT!M$2:M$25,23,FALSE),HLOOKUP(Q$19,ELT!M$2:M$25,24,FALSE))</f>
        <v>0</v>
      </c>
      <c r="R21" s="349">
        <f>IF($B$15=AS_CalcoloPE!$D$2,HLOOKUP(R$19,ELT!N$2:N$25,23,FALSE),HLOOKUP(R$19,ELT!N$2:N$25,24,FALSE))</f>
        <v>0</v>
      </c>
      <c r="S21" s="349">
        <f>IF($B$15=AS_CalcoloPE!$D$2,HLOOKUP(S$19,ELT!O$2:O$25,23,FALSE),HLOOKUP(S$19,ELT!O$2:O$25,24,FALSE))</f>
        <v>0</v>
      </c>
      <c r="T21" s="349">
        <f>IF($B$15=AS_CalcoloPE!$D$2,HLOOKUP(T$19,ELT!P$2:P$25,23,FALSE),HLOOKUP(T$19,ELT!P$2:P$25,24,FALSE))</f>
        <v>0</v>
      </c>
      <c r="U21" s="349">
        <f>IF($B$15=AS_CalcoloPE!$D$2,HLOOKUP(U$19,ELT!Q$2:Q$25,23,FALSE),HLOOKUP(U$19,ELT!Q$2:Q$25,24,FALSE))</f>
        <v>0</v>
      </c>
      <c r="V21" s="349">
        <f>IF($B$15=AS_CalcoloPE!$D$2,HLOOKUP(V$19,ELT!R$2:R$25,23,FALSE),HLOOKUP(V$19,ELT!R$2:R$25,24,FALSE))</f>
        <v>0</v>
      </c>
      <c r="W21" s="349">
        <f>IF($B$15=AS_CalcoloPE!$D$2,HLOOKUP(W$19,ELT!S$2:S$25,23,FALSE),HLOOKUP(W$19,ELT!S$2:S$25,24,FALSE))</f>
        <v>0</v>
      </c>
      <c r="X21" s="349">
        <f>IF($B$15=AS_CalcoloPE!$D$2,HLOOKUP(X$19,ELT!T$2:T$25,23,FALSE),HLOOKUP(X$19,ELT!T$2:T$25,24,FALSE))</f>
        <v>0</v>
      </c>
      <c r="Y21" s="349">
        <f>IF($B$15=AS_CalcoloPE!$D$2,HLOOKUP(Y$19,ELT!U$2:U$25,23,FALSE),HLOOKUP(Y$19,ELT!U$2:U$25,24,FALSE))</f>
        <v>0</v>
      </c>
      <c r="Z21" s="349">
        <f>IF($B$15=AS_CalcoloPE!$D$2,HLOOKUP(Z$19,ELT!V$2:V$25,23,FALSE),HLOOKUP(Z$19,ELT!V$2:V$25,24,FALSE))</f>
        <v>0</v>
      </c>
      <c r="AA21" s="349">
        <f>IF($B$15=AS_CalcoloPE!$D$2,HLOOKUP(AA$19,ELT!W$2:W$25,23,FALSE),HLOOKUP(AA$19,ELT!W$2:W$25,24,FALSE))</f>
        <v>0</v>
      </c>
      <c r="AB21" s="349">
        <f>IF($B$15=AS_CalcoloPE!$D$2,HLOOKUP(AB$19,ELT!X$2:X$25,23,FALSE),HLOOKUP(AB$19,ELT!X$2:X$25,24,FALSE))</f>
        <v>0</v>
      </c>
      <c r="AC21" s="349">
        <f>IF($B$15=AS_CalcoloPE!$D$2,HLOOKUP(AC$19,ELT!Y$2:Y$25,23,FALSE),HLOOKUP(AC$19,ELT!Y$2:Y$25,24,FALSE))</f>
        <v>0</v>
      </c>
      <c r="AD21" s="349">
        <f>IF($B$15=AS_CalcoloPE!$D$2,HLOOKUP(AD$19,ELT!Z$2:Z$25,23,FALSE),HLOOKUP(AD$19,ELT!Z$2:Z$25,24,FALSE))</f>
        <v>0</v>
      </c>
      <c r="AF21" s="349">
        <f>HLOOKUP(AF$19,ELT!G$2:G$4,3,FALSE)</f>
        <v>48</v>
      </c>
      <c r="AG21" s="349">
        <f>HLOOKUP(AG$19,ELT!H$2:H$4,3,FALSE)</f>
        <v>0</v>
      </c>
      <c r="AH21" s="349">
        <f>HLOOKUP(AH$19,ELT!I$2:I$4,3,FALSE)</f>
        <v>0</v>
      </c>
      <c r="AI21" s="349">
        <f>HLOOKUP(AI$19,ELT!J$2:J$4,3,FALSE)</f>
        <v>0</v>
      </c>
      <c r="AJ21" s="349">
        <f>HLOOKUP(AJ$19,ELT!K$2:K$4,3,FALSE)</f>
        <v>0</v>
      </c>
      <c r="AK21" s="349">
        <f>HLOOKUP(AK$19,ELT!L$2:L$4,3,FALSE)</f>
        <v>0</v>
      </c>
      <c r="AL21" s="349">
        <f>HLOOKUP(AL$19,ELT!M$2:M$4,3,FALSE)</f>
        <v>0</v>
      </c>
      <c r="AM21" s="349">
        <f>HLOOKUP(AM$19,ELT!N$2:N$4,3,FALSE)</f>
        <v>0</v>
      </c>
      <c r="AN21" s="349">
        <f>HLOOKUP(AN$19,ELT!O$2:O$4,3,FALSE)</f>
        <v>0</v>
      </c>
      <c r="AO21" s="349">
        <f>HLOOKUP(AO$19,ELT!P$2:P$4,3,FALSE)</f>
        <v>0</v>
      </c>
      <c r="AP21" s="349">
        <f>HLOOKUP(AP$19,ELT!Q$2:Q$4,3,FALSE)</f>
        <v>0</v>
      </c>
      <c r="AQ21" s="349">
        <f>HLOOKUP(AQ$19,ELT!R$2:R$4,3,FALSE)</f>
        <v>0</v>
      </c>
      <c r="AR21" s="349">
        <f>HLOOKUP(AR$19,ELT!S$2:S$4,3,FALSE)</f>
        <v>0</v>
      </c>
      <c r="AS21" s="349">
        <f>HLOOKUP(AS$19,ELT!T$2:T$4,3,FALSE)</f>
        <v>0</v>
      </c>
      <c r="AT21" s="349">
        <f>HLOOKUP(AT$19,ELT!U$2:U$4,3,FALSE)</f>
        <v>0</v>
      </c>
      <c r="AU21" s="349">
        <f>HLOOKUP(AU$19,ELT!V$2:V$4,3,FALSE)</f>
        <v>0</v>
      </c>
      <c r="AV21" s="349">
        <f>HLOOKUP(AV$19,ELT!W$2:W$4,3,FALSE)</f>
        <v>0</v>
      </c>
      <c r="AW21" s="349">
        <f>HLOOKUP(AW$19,ELT!X$2:X$4,3,FALSE)</f>
        <v>0</v>
      </c>
      <c r="AX21" s="349">
        <f>HLOOKUP(AX$19,ELT!Y$2:Y$4,3,FALSE)</f>
        <v>0</v>
      </c>
      <c r="AY21" s="349">
        <f>HLOOKUP(AY$19,ELT!Z$2:Z$4,3,FALSE)</f>
        <v>0</v>
      </c>
    </row>
    <row r="22" spans="1:51" x14ac:dyDescent="0.25">
      <c r="B22" s="792" t="s">
        <v>122</v>
      </c>
      <c r="C22" s="799"/>
      <c r="D22" s="803">
        <f>IF($B$15=AS_CalcoloPE!$D$2,AS_CalcoloPE!E13,AS_CalcoloPE!G13)</f>
        <v>99217.804000000004</v>
      </c>
      <c r="E22"/>
      <c r="F22"/>
      <c r="G22"/>
      <c r="H22"/>
      <c r="I22"/>
      <c r="J22" s="117"/>
      <c r="K22" s="355">
        <f>IF($B$15=AS_CalcoloPE!$D$2,HLOOKUP(K$19,SPE!G$2:G$21,19,FALSE),HLOOKUP(K$19,SPE!G$2:G$21,20,FALSE))</f>
        <v>99217.804000000004</v>
      </c>
      <c r="L22" s="355">
        <f>IF($B$15=AS_CalcoloPE!$D$2,HLOOKUP(L$19,SPE!H$2:H$21,19,FALSE),HLOOKUP(L$19,SPE!H$2:H$21,20,FALSE))</f>
        <v>0</v>
      </c>
      <c r="M22" s="355">
        <f>IF($B$15=AS_CalcoloPE!$D$2,HLOOKUP(M$19,SPE!I$2:I$21,19,FALSE),HLOOKUP(M$19,SPE!I$2:I$21,20,FALSE))</f>
        <v>0</v>
      </c>
      <c r="N22" s="355">
        <f>IF($B$15=AS_CalcoloPE!$D$2,HLOOKUP(N$19,SPE!J$2:J$21,19,FALSE),HLOOKUP(N$19,SPE!J$2:J$21,20,FALSE))</f>
        <v>0</v>
      </c>
      <c r="O22" s="355">
        <f>IF($B$15=AS_CalcoloPE!$D$2,HLOOKUP(O$19,SPE!K$2:K$21,19,FALSE),HLOOKUP(O$19,SPE!K$2:K$21,20,FALSE))</f>
        <v>0</v>
      </c>
      <c r="P22" s="355">
        <f>IF($B$15=AS_CalcoloPE!$D$2,HLOOKUP(P$19,SPE!L$2:L$21,19,FALSE),HLOOKUP(P$19,SPE!L$2:L$21,20,FALSE))</f>
        <v>0</v>
      </c>
      <c r="Q22" s="355">
        <f>IF($B$15=AS_CalcoloPE!$D$2,HLOOKUP(Q$19,SPE!M$2:M$21,19,FALSE),HLOOKUP(Q$19,SPE!M$2:M$21,20,FALSE))</f>
        <v>0</v>
      </c>
      <c r="R22" s="355">
        <f>IF($B$15=AS_CalcoloPE!$D$2,HLOOKUP(R$19,SPE!N$2:N$21,19,FALSE),HLOOKUP(R$19,SPE!N$2:N$21,20,FALSE))</f>
        <v>0</v>
      </c>
      <c r="S22" s="355">
        <f>IF($B$15=AS_CalcoloPE!$D$2,HLOOKUP(S$19,SPE!O$2:O$21,19,FALSE),HLOOKUP(S$19,SPE!O$2:O$21,20,FALSE))</f>
        <v>0</v>
      </c>
      <c r="T22" s="355">
        <f>IF($B$15=AS_CalcoloPE!$D$2,HLOOKUP(T$19,SPE!P$2:P$21,19,FALSE),HLOOKUP(T$19,SPE!P$2:P$21,20,FALSE))</f>
        <v>0</v>
      </c>
      <c r="U22" s="355">
        <f>IF($B$15=AS_CalcoloPE!$D$2,HLOOKUP(U$19,SPE!Q$2:Q$21,19,FALSE),HLOOKUP(U$19,SPE!Q$2:Q$21,20,FALSE))</f>
        <v>0</v>
      </c>
      <c r="V22" s="355">
        <f>IF($B$15=AS_CalcoloPE!$D$2,HLOOKUP(V$19,SPE!R$2:R$21,19,FALSE),HLOOKUP(V$19,SPE!R$2:R$21,20,FALSE))</f>
        <v>0</v>
      </c>
      <c r="W22" s="355">
        <f>IF($B$15=AS_CalcoloPE!$D$2,HLOOKUP(W$19,SPE!S$2:S$21,19,FALSE),HLOOKUP(W$19,SPE!S$2:S$21,20,FALSE))</f>
        <v>0</v>
      </c>
      <c r="X22" s="355">
        <f>IF($B$15=AS_CalcoloPE!$D$2,HLOOKUP(X$19,SPE!T$2:T$21,19,FALSE),HLOOKUP(X$19,SPE!T$2:T$21,20,FALSE))</f>
        <v>0</v>
      </c>
      <c r="Y22" s="355">
        <f>IF($B$15=AS_CalcoloPE!$D$2,HLOOKUP(Y$19,SPE!U$2:U$21,19,FALSE),HLOOKUP(Y$19,SPE!U$2:U$21,20,FALSE))</f>
        <v>0</v>
      </c>
      <c r="Z22" s="355">
        <f>IF($B$15=AS_CalcoloPE!$D$2,HLOOKUP(Z$19,SPE!V$2:V$21,19,FALSE),HLOOKUP(Z$19,SPE!V$2:V$21,20,FALSE))</f>
        <v>0</v>
      </c>
      <c r="AA22" s="355">
        <f>IF($B$15=AS_CalcoloPE!$D$2,HLOOKUP(AA$19,SPE!W$2:W$21,19,FALSE),HLOOKUP(AA$19,SPE!W$2:W$21,20,FALSE))</f>
        <v>0</v>
      </c>
      <c r="AB22" s="355">
        <f>IF($B$15=AS_CalcoloPE!$D$2,HLOOKUP(AB$19,SPE!X$2:X$21,19,FALSE),HLOOKUP(AB$19,SPE!X$2:X$21,20,FALSE))</f>
        <v>0</v>
      </c>
      <c r="AC22" s="355">
        <f>IF($B$15=AS_CalcoloPE!$D$2,HLOOKUP(AC$19,SPE!Y$2:Y$21,19,FALSE),HLOOKUP(AC$19,SPE!Y$2:Y$21,20,FALSE))</f>
        <v>0</v>
      </c>
      <c r="AD22" s="355">
        <f>IF($B$15=AS_CalcoloPE!$D$2,HLOOKUP(AD$19,SPE!Z$2:Z$21,19,FALSE),HLOOKUP(AD$19,SPE!Z$2:Z$21,20,FALSE))</f>
        <v>0</v>
      </c>
      <c r="AF22" s="355">
        <f>HLOOKUP(AF$19,SPE!G$2:G$4,3,FALSE)</f>
        <v>48</v>
      </c>
      <c r="AG22" s="355">
        <f>HLOOKUP(AG$19,SPE!H$2:H$4,3,FALSE)</f>
        <v>0</v>
      </c>
      <c r="AH22" s="355">
        <f>HLOOKUP(AH$19,SPE!I$2:I$4,3,FALSE)</f>
        <v>0</v>
      </c>
      <c r="AI22" s="355">
        <f>HLOOKUP(AI$19,SPE!J$2:J$4,3,FALSE)</f>
        <v>0</v>
      </c>
      <c r="AJ22" s="355">
        <f>HLOOKUP(AJ$19,SPE!K$2:K$4,3,FALSE)</f>
        <v>0</v>
      </c>
      <c r="AK22" s="355">
        <f>HLOOKUP(AK$19,SPE!L$2:L$4,3,FALSE)</f>
        <v>0</v>
      </c>
      <c r="AL22" s="355">
        <f>HLOOKUP(AL$19,SPE!M$2:M$4,3,FALSE)</f>
        <v>0</v>
      </c>
      <c r="AM22" s="355">
        <f>HLOOKUP(AM$19,SPE!N$2:N$4,3,FALSE)</f>
        <v>0</v>
      </c>
      <c r="AN22" s="355">
        <f>HLOOKUP(AN$19,SPE!O$2:O$4,3,FALSE)</f>
        <v>0</v>
      </c>
      <c r="AO22" s="355">
        <f>HLOOKUP(AO$19,SPE!P$2:P$4,3,FALSE)</f>
        <v>0</v>
      </c>
      <c r="AP22" s="355">
        <f>HLOOKUP(AP$19,SPE!Q$2:Q$4,3,FALSE)</f>
        <v>0</v>
      </c>
      <c r="AQ22" s="355">
        <f>HLOOKUP(AQ$19,SPE!R$2:R$4,3,FALSE)</f>
        <v>0</v>
      </c>
      <c r="AR22" s="355">
        <f>HLOOKUP(AR$19,SPE!S$2:S$4,3,FALSE)</f>
        <v>0</v>
      </c>
      <c r="AS22" s="355">
        <f>HLOOKUP(AS$19,SPE!T$2:T$4,3,FALSE)</f>
        <v>0</v>
      </c>
      <c r="AT22" s="355">
        <f>HLOOKUP(AT$19,SPE!U$2:U$4,3,FALSE)</f>
        <v>0</v>
      </c>
      <c r="AU22" s="355">
        <f>HLOOKUP(AU$19,SPE!V$2:V$4,3,FALSE)</f>
        <v>0</v>
      </c>
      <c r="AV22" s="355">
        <f>HLOOKUP(AV$19,SPE!W$2:W$4,3,FALSE)</f>
        <v>0</v>
      </c>
      <c r="AW22" s="355">
        <f>HLOOKUP(AW$19,SPE!X$2:X$4,3,FALSE)</f>
        <v>0</v>
      </c>
      <c r="AX22" s="355">
        <f>HLOOKUP(AX$19,SPE!Y$2:Y$4,3,FALSE)</f>
        <v>0</v>
      </c>
      <c r="AY22" s="355">
        <f>HLOOKUP(AY$19,SPE!Z$2:Z$4,3,FALSE)</f>
        <v>0</v>
      </c>
    </row>
    <row r="23" spans="1:51" x14ac:dyDescent="0.25">
      <c r="B23" s="793" t="s">
        <v>474</v>
      </c>
      <c r="C23" s="799"/>
      <c r="D23" s="804">
        <f>IF($B$15=AS_CalcoloPE!$D$2,AS_CalcoloPE!E14,AS_CalcoloPE!G14)</f>
        <v>240631.04800000004</v>
      </c>
      <c r="E23"/>
      <c r="F23"/>
      <c r="G23"/>
      <c r="H23"/>
      <c r="I23"/>
      <c r="J23" s="117"/>
      <c r="K23" s="351">
        <f>IF($B$15=AS_CalcoloPE!$D$2,HLOOKUP(K$19,CLI!G$2:G$37,35,FALSE),HLOOKUP(K$19,CLI!G$2:G$37,36,FALSE))</f>
        <v>240631.04800000004</v>
      </c>
      <c r="L23" s="351">
        <f>IF($B$15=AS_CalcoloPE!$D$2,HLOOKUP(L$19,CLI!H$2:H$37,35,FALSE),HLOOKUP(L$19,CLI!H$2:H$37,36,FALSE))</f>
        <v>0</v>
      </c>
      <c r="M23" s="351">
        <f>IF($B$15=AS_CalcoloPE!$D$2,HLOOKUP(M$19,CLI!I$2:I$37,35,FALSE),HLOOKUP(M$19,CLI!I$2:I$37,36,FALSE))</f>
        <v>0</v>
      </c>
      <c r="N23" s="351">
        <f>IF($B$15=AS_CalcoloPE!$D$2,HLOOKUP(N$19,CLI!J$2:J$37,35,FALSE),HLOOKUP(N$19,CLI!J$2:J$37,36,FALSE))</f>
        <v>0</v>
      </c>
      <c r="O23" s="351">
        <f>IF($B$15=AS_CalcoloPE!$D$2,HLOOKUP(O$19,CLI!K$2:K$37,35,FALSE),HLOOKUP(O$19,CLI!K$2:K$37,36,FALSE))</f>
        <v>0</v>
      </c>
      <c r="P23" s="351">
        <f>IF($B$15=AS_CalcoloPE!$D$2,HLOOKUP(P$19,CLI!L$2:L$37,35,FALSE),HLOOKUP(P$19,CLI!L$2:L$37,36,FALSE))</f>
        <v>0</v>
      </c>
      <c r="Q23" s="351">
        <f>IF($B$15=AS_CalcoloPE!$D$2,HLOOKUP(Q$19,CLI!M$2:M$37,35,FALSE),HLOOKUP(Q$19,CLI!M$2:M$37,36,FALSE))</f>
        <v>0</v>
      </c>
      <c r="R23" s="351">
        <f>IF($B$15=AS_CalcoloPE!$D$2,HLOOKUP(R$19,CLI!N$2:N$37,35,FALSE),HLOOKUP(R$19,CLI!N$2:N$37,36,FALSE))</f>
        <v>0</v>
      </c>
      <c r="S23" s="351">
        <f>IF($B$15=AS_CalcoloPE!$D$2,HLOOKUP(S$19,CLI!O$2:O$37,35,FALSE),HLOOKUP(S$19,CLI!O$2:O$37,36,FALSE))</f>
        <v>0</v>
      </c>
      <c r="T23" s="351">
        <f>IF($B$15=AS_CalcoloPE!$D$2,HLOOKUP(T$19,CLI!P$2:P$37,35,FALSE),HLOOKUP(T$19,CLI!P$2:P$37,36,FALSE))</f>
        <v>0</v>
      </c>
      <c r="U23" s="351">
        <f>IF($B$15=AS_CalcoloPE!$D$2,HLOOKUP(U$19,CLI!Q$2:Q$37,35,FALSE),HLOOKUP(U$19,CLI!Q$2:Q$37,36,FALSE))</f>
        <v>0</v>
      </c>
      <c r="V23" s="351">
        <f>IF($B$15=AS_CalcoloPE!$D$2,HLOOKUP(V$19,CLI!R$2:R$37,35,FALSE),HLOOKUP(V$19,CLI!R$2:R$37,36,FALSE))</f>
        <v>0</v>
      </c>
      <c r="W23" s="351">
        <f>IF($B$15=AS_CalcoloPE!$D$2,HLOOKUP(W$19,CLI!S$2:S$37,35,FALSE),HLOOKUP(W$19,CLI!S$2:S$37,36,FALSE))</f>
        <v>0</v>
      </c>
      <c r="X23" s="351">
        <f>IF($B$15=AS_CalcoloPE!$D$2,HLOOKUP(X$19,CLI!T$2:T$37,35,FALSE),HLOOKUP(X$19,CLI!T$2:T$37,36,FALSE))</f>
        <v>0</v>
      </c>
      <c r="Y23" s="351">
        <f>IF($B$15=AS_CalcoloPE!$D$2,HLOOKUP(Y$19,CLI!U$2:U$37,35,FALSE),HLOOKUP(Y$19,CLI!U$2:U$37,36,FALSE))</f>
        <v>0</v>
      </c>
      <c r="Z23" s="351">
        <f>IF($B$15=AS_CalcoloPE!$D$2,HLOOKUP(Z$19,CLI!V$2:V$37,35,FALSE),HLOOKUP(Z$19,CLI!V$2:V$37,36,FALSE))</f>
        <v>0</v>
      </c>
      <c r="AA23" s="351">
        <f>IF($B$15=AS_CalcoloPE!$D$2,HLOOKUP(AA$19,CLI!W$2:W$37,35,FALSE),HLOOKUP(AA$19,CLI!W$2:W$37,36,FALSE))</f>
        <v>0</v>
      </c>
      <c r="AB23" s="351">
        <f>IF($B$15=AS_CalcoloPE!$D$2,HLOOKUP(AB$19,CLI!X$2:X$37,35,FALSE),HLOOKUP(AB$19,CLI!X$2:X$37,36,FALSE))</f>
        <v>0</v>
      </c>
      <c r="AC23" s="351">
        <f>IF($B$15=AS_CalcoloPE!$D$2,HLOOKUP(AC$19,CLI!Y$2:Y$37,35,FALSE),HLOOKUP(AC$19,CLI!Y$2:Y$37,36,FALSE))</f>
        <v>0</v>
      </c>
      <c r="AD23" s="351">
        <f>IF($B$15=AS_CalcoloPE!$D$2,HLOOKUP(AD$19,CLI!Z$2:Z$37,35,FALSE),HLOOKUP(AD$19,CLI!Z$2:Z$37,36,FALSE))</f>
        <v>0</v>
      </c>
      <c r="AF23" s="351">
        <f>HLOOKUP(AF$19,CLI!G$2:G$4,3,FALSE)</f>
        <v>48</v>
      </c>
      <c r="AG23" s="351">
        <f>HLOOKUP(AG$19,CLI!H$2:H$4,3,FALSE)</f>
        <v>0</v>
      </c>
      <c r="AH23" s="351">
        <f>HLOOKUP(AH$19,CLI!I$2:I$4,3,FALSE)</f>
        <v>0</v>
      </c>
      <c r="AI23" s="351">
        <f>HLOOKUP(AI$19,CLI!J$2:J$4,3,FALSE)</f>
        <v>0</v>
      </c>
      <c r="AJ23" s="351">
        <f>HLOOKUP(AJ$19,CLI!K$2:K$4,3,FALSE)</f>
        <v>0</v>
      </c>
      <c r="AK23" s="351">
        <f>HLOOKUP(AK$19,CLI!L$2:L$4,3,FALSE)</f>
        <v>0</v>
      </c>
      <c r="AL23" s="351">
        <f>HLOOKUP(AL$19,CLI!M$2:M$4,3,FALSE)</f>
        <v>0</v>
      </c>
      <c r="AM23" s="351">
        <f>HLOOKUP(AM$19,CLI!N$2:N$4,3,FALSE)</f>
        <v>0</v>
      </c>
      <c r="AN23" s="351">
        <f>HLOOKUP(AN$19,CLI!O$2:O$4,3,FALSE)</f>
        <v>0</v>
      </c>
      <c r="AO23" s="351">
        <f>HLOOKUP(AO$19,CLI!P$2:P$4,3,FALSE)</f>
        <v>0</v>
      </c>
      <c r="AP23" s="351">
        <f>HLOOKUP(AP$19,CLI!Q$2:Q$4,3,FALSE)</f>
        <v>0</v>
      </c>
      <c r="AQ23" s="351">
        <f>HLOOKUP(AQ$19,CLI!R$2:R$4,3,FALSE)</f>
        <v>0</v>
      </c>
      <c r="AR23" s="351">
        <f>HLOOKUP(AR$19,CLI!S$2:S$4,3,FALSE)</f>
        <v>0</v>
      </c>
      <c r="AS23" s="351">
        <f>HLOOKUP(AS$19,CLI!T$2:T$4,3,FALSE)</f>
        <v>0</v>
      </c>
      <c r="AT23" s="351">
        <f>HLOOKUP(AT$19,CLI!U$2:U$4,3,FALSE)</f>
        <v>0</v>
      </c>
      <c r="AU23" s="351">
        <f>HLOOKUP(AU$19,CLI!V$2:V$4,3,FALSE)</f>
        <v>0</v>
      </c>
      <c r="AV23" s="351">
        <f>HLOOKUP(AV$19,CLI!W$2:W$4,3,FALSE)</f>
        <v>0</v>
      </c>
      <c r="AW23" s="351">
        <f>HLOOKUP(AW$19,CLI!X$2:X$4,3,FALSE)</f>
        <v>0</v>
      </c>
      <c r="AX23" s="351">
        <f>HLOOKUP(AX$19,CLI!Y$2:Y$4,3,FALSE)</f>
        <v>0</v>
      </c>
      <c r="AY23" s="351">
        <f>HLOOKUP(AY$19,CLI!Z$2:Z$4,3,FALSE)</f>
        <v>0</v>
      </c>
    </row>
    <row r="24" spans="1:51" x14ac:dyDescent="0.25">
      <c r="B24" s="792" t="s">
        <v>4</v>
      </c>
      <c r="C24" s="799"/>
      <c r="D24" s="803">
        <f>IF($B$15=AS_CalcoloPE!$D$2,AS_CalcoloPE!E15,AS_CalcoloPE!G15)</f>
        <v>30429.887999999995</v>
      </c>
      <c r="E24"/>
      <c r="F24"/>
      <c r="G24"/>
      <c r="H24"/>
      <c r="I24"/>
      <c r="J24" s="117"/>
      <c r="K24" s="355">
        <f>IF($B$15=AS_CalcoloPE!$D$2,HLOOKUP(K$19,IDR!G$2:G$17,15,FALSE),HLOOKUP(K$19,IDR!G$2:G$17,16,FALSE))</f>
        <v>30429.887999999995</v>
      </c>
      <c r="L24" s="355">
        <f>IF($B$15=AS_CalcoloPE!$D$2,HLOOKUP(L$19,IDR!H$2:H$17,15,FALSE),HLOOKUP(L$19,IDR!H$2:H$17,16,FALSE))</f>
        <v>0</v>
      </c>
      <c r="M24" s="355">
        <f>IF($B$15=AS_CalcoloPE!$D$2,HLOOKUP(M$19,IDR!I$2:I$17,15,FALSE),HLOOKUP(M$19,IDR!I$2:I$17,16,FALSE))</f>
        <v>0</v>
      </c>
      <c r="N24" s="355">
        <f>IF($B$15=AS_CalcoloPE!$D$2,HLOOKUP(N$19,IDR!J$2:J$17,15,FALSE),HLOOKUP(N$19,IDR!J$2:J$17,16,FALSE))</f>
        <v>0</v>
      </c>
      <c r="O24" s="355">
        <f>IF($B$15=AS_CalcoloPE!$D$2,HLOOKUP(O$19,IDR!K$2:K$17,15,FALSE),HLOOKUP(O$19,IDR!K$2:K$17,16,FALSE))</f>
        <v>0</v>
      </c>
      <c r="P24" s="355">
        <f>IF($B$15=AS_CalcoloPE!$D$2,HLOOKUP(P$19,IDR!L$2:L$17,15,FALSE),HLOOKUP(P$19,IDR!L$2:L$17,16,FALSE))</f>
        <v>0</v>
      </c>
      <c r="Q24" s="355">
        <f>IF($B$15=AS_CalcoloPE!$D$2,HLOOKUP(Q$19,IDR!M$2:M$17,15,FALSE),HLOOKUP(Q$19,IDR!M$2:M$17,16,FALSE))</f>
        <v>0</v>
      </c>
      <c r="R24" s="355">
        <f>IF($B$15=AS_CalcoloPE!$D$2,HLOOKUP(R$19,IDR!N$2:N$17,15,FALSE),HLOOKUP(R$19,IDR!N$2:N$17,16,FALSE))</f>
        <v>0</v>
      </c>
      <c r="S24" s="355">
        <f>IF($B$15=AS_CalcoloPE!$D$2,HLOOKUP(S$19,IDR!O$2:O$17,15,FALSE),HLOOKUP(S$19,IDR!O$2:O$17,16,FALSE))</f>
        <v>0</v>
      </c>
      <c r="T24" s="355">
        <f>IF($B$15=AS_CalcoloPE!$D$2,HLOOKUP(T$19,IDR!P$2:P$17,15,FALSE),HLOOKUP(T$19,IDR!P$2:P$17,16,FALSE))</f>
        <v>0</v>
      </c>
      <c r="U24" s="355">
        <f>IF($B$15=AS_CalcoloPE!$D$2,HLOOKUP(U$19,IDR!Q$2:Q$17,15,FALSE),HLOOKUP(U$19,IDR!Q$2:Q$17,16,FALSE))</f>
        <v>0</v>
      </c>
      <c r="V24" s="355">
        <f>IF($B$15=AS_CalcoloPE!$D$2,HLOOKUP(V$19,IDR!R$2:R$17,15,FALSE),HLOOKUP(V$19,IDR!R$2:R$17,16,FALSE))</f>
        <v>0</v>
      </c>
      <c r="W24" s="355">
        <f>IF($B$15=AS_CalcoloPE!$D$2,HLOOKUP(W$19,IDR!S$2:S$17,15,FALSE),HLOOKUP(W$19,IDR!S$2:S$17,16,FALSE))</f>
        <v>0</v>
      </c>
      <c r="X24" s="355">
        <f>IF($B$15=AS_CalcoloPE!$D$2,HLOOKUP(X$19,IDR!T$2:T$17,15,FALSE),HLOOKUP(X$19,IDR!T$2:T$17,16,FALSE))</f>
        <v>0</v>
      </c>
      <c r="Y24" s="355">
        <f>IF($B$15=AS_CalcoloPE!$D$2,HLOOKUP(Y$19,IDR!U$2:U$17,15,FALSE),HLOOKUP(Y$19,IDR!U$2:U$17,16,FALSE))</f>
        <v>0</v>
      </c>
      <c r="Z24" s="355">
        <f>IF($B$15=AS_CalcoloPE!$D$2,HLOOKUP(Z$19,IDR!V$2:V$17,15,FALSE),HLOOKUP(Z$19,IDR!V$2:V$17,16,FALSE))</f>
        <v>0</v>
      </c>
      <c r="AA24" s="355">
        <f>IF($B$15=AS_CalcoloPE!$D$2,HLOOKUP(AA$19,IDR!W$2:W$17,15,FALSE),HLOOKUP(AA$19,IDR!W$2:W$17,16,FALSE))</f>
        <v>0</v>
      </c>
      <c r="AB24" s="355">
        <f>IF($B$15=AS_CalcoloPE!$D$2,HLOOKUP(AB$19,IDR!X$2:X$17,15,FALSE),HLOOKUP(AB$19,IDR!X$2:X$17,16,FALSE))</f>
        <v>0</v>
      </c>
      <c r="AC24" s="355">
        <f>IF($B$15=AS_CalcoloPE!$D$2,HLOOKUP(AC$19,IDR!Y$2:Y$17,15,FALSE),HLOOKUP(AC$19,IDR!Y$2:Y$17,16,FALSE))</f>
        <v>0</v>
      </c>
      <c r="AD24" s="355">
        <f>IF($B$15=AS_CalcoloPE!$D$2,HLOOKUP(AD$19,IDR!Z$2:Z$17,15,FALSE),HLOOKUP(AD$19,IDR!Z$2:Z$17,16,FALSE))</f>
        <v>0</v>
      </c>
      <c r="AF24" s="355">
        <f>HLOOKUP(AF$19,IDR!G$2:G$4,3,FALSE)</f>
        <v>48</v>
      </c>
      <c r="AG24" s="355">
        <f>HLOOKUP(AG$19,IDR!H$2:H$4,3,FALSE)</f>
        <v>0</v>
      </c>
      <c r="AH24" s="355">
        <f>HLOOKUP(AH$19,IDR!I$2:I$4,3,FALSE)</f>
        <v>0</v>
      </c>
      <c r="AI24" s="355">
        <f>HLOOKUP(AI$19,IDR!J$2:J$4,3,FALSE)</f>
        <v>0</v>
      </c>
      <c r="AJ24" s="355">
        <f>HLOOKUP(AJ$19,IDR!K$2:K$4,3,FALSE)</f>
        <v>0</v>
      </c>
      <c r="AK24" s="355">
        <f>HLOOKUP(AK$19,IDR!L$2:L$4,3,FALSE)</f>
        <v>0</v>
      </c>
      <c r="AL24" s="355">
        <f>HLOOKUP(AL$19,IDR!M$2:M$4,3,FALSE)</f>
        <v>0</v>
      </c>
      <c r="AM24" s="355">
        <f>HLOOKUP(AM$19,IDR!N$2:N$4,3,FALSE)</f>
        <v>0</v>
      </c>
      <c r="AN24" s="355">
        <f>HLOOKUP(AN$19,IDR!O$2:O$4,3,FALSE)</f>
        <v>0</v>
      </c>
      <c r="AO24" s="355">
        <f>HLOOKUP(AO$19,IDR!P$2:P$4,3,FALSE)</f>
        <v>0</v>
      </c>
      <c r="AP24" s="355">
        <f>HLOOKUP(AP$19,IDR!Q$2:Q$4,3,FALSE)</f>
        <v>0</v>
      </c>
      <c r="AQ24" s="355">
        <f>HLOOKUP(AQ$19,IDR!R$2:R$4,3,FALSE)</f>
        <v>0</v>
      </c>
      <c r="AR24" s="355">
        <f>HLOOKUP(AR$19,IDR!S$2:S$4,3,FALSE)</f>
        <v>0</v>
      </c>
      <c r="AS24" s="355">
        <f>HLOOKUP(AS$19,IDR!T$2:T$4,3,FALSE)</f>
        <v>0</v>
      </c>
      <c r="AT24" s="355">
        <f>HLOOKUP(AT$19,IDR!U$2:U$4,3,FALSE)</f>
        <v>0</v>
      </c>
      <c r="AU24" s="355">
        <f>HLOOKUP(AU$19,IDR!V$2:V$4,3,FALSE)</f>
        <v>0</v>
      </c>
      <c r="AV24" s="355">
        <f>HLOOKUP(AV$19,IDR!W$2:W$4,3,FALSE)</f>
        <v>0</v>
      </c>
      <c r="AW24" s="355">
        <f>HLOOKUP(AW$19,IDR!X$2:X$4,3,FALSE)</f>
        <v>0</v>
      </c>
      <c r="AX24" s="355">
        <f>HLOOKUP(AX$19,IDR!Y$2:Y$4,3,FALSE)</f>
        <v>0</v>
      </c>
      <c r="AY24" s="355">
        <f>HLOOKUP(AY$19,IDR!Z$2:Z$4,3,FALSE)</f>
        <v>0</v>
      </c>
    </row>
    <row r="25" spans="1:51" x14ac:dyDescent="0.25">
      <c r="B25" s="793" t="s">
        <v>3</v>
      </c>
      <c r="C25" s="799"/>
      <c r="D25" s="804">
        <f>IF($B$15=AS_CalcoloPE!$D$2,AS_CalcoloPE!E16,AS_CalcoloPE!G16)</f>
        <v>0</v>
      </c>
      <c r="E25"/>
      <c r="F25"/>
      <c r="G25"/>
      <c r="H25"/>
      <c r="I25"/>
      <c r="J25" s="117"/>
      <c r="K25" s="351">
        <f>IF($B$15=AS_CalcoloPE!$D$2,HLOOKUP(K$19,ELV!G$2:G$21,19,FALSE),HLOOKUP(K$19,ELV!G$2:G$21,20,FALSE))</f>
        <v>0</v>
      </c>
      <c r="L25" s="351">
        <f>IF($B$15=AS_CalcoloPE!$D$2,HLOOKUP(L$19,ELV!H$2:H$21,19,FALSE),HLOOKUP(L$19,ELV!H$2:H$21,20,FALSE))</f>
        <v>0</v>
      </c>
      <c r="M25" s="351">
        <f>IF($B$15=AS_CalcoloPE!$D$2,HLOOKUP(M$19,ELV!I$2:I$21,19,FALSE),HLOOKUP(M$19,ELV!I$2:I$21,20,FALSE))</f>
        <v>0</v>
      </c>
      <c r="N25" s="351">
        <f>IF($B$15=AS_CalcoloPE!$D$2,HLOOKUP(N$19,ELV!J$2:J$21,19,FALSE),HLOOKUP(N$19,ELV!J$2:J$21,20,FALSE))</f>
        <v>0</v>
      </c>
      <c r="O25" s="351">
        <f>IF($B$15=AS_CalcoloPE!$D$2,HLOOKUP(O$19,ELV!K$2:K$21,19,FALSE),HLOOKUP(O$19,ELV!K$2:K$21,20,FALSE))</f>
        <v>0</v>
      </c>
      <c r="P25" s="351">
        <f>IF($B$15=AS_CalcoloPE!$D$2,HLOOKUP(P$19,ELV!L$2:L$21,19,FALSE),HLOOKUP(P$19,ELV!L$2:L$21,20,FALSE))</f>
        <v>0</v>
      </c>
      <c r="Q25" s="351">
        <f>IF($B$15=AS_CalcoloPE!$D$2,HLOOKUP(Q$19,ELV!M$2:M$21,19,FALSE),HLOOKUP(Q$19,ELV!M$2:M$21,20,FALSE))</f>
        <v>0</v>
      </c>
      <c r="R25" s="351">
        <f>IF($B$15=AS_CalcoloPE!$D$2,HLOOKUP(R$19,ELV!N$2:N$21,19,FALSE),HLOOKUP(R$19,ELV!N$2:N$21,20,FALSE))</f>
        <v>0</v>
      </c>
      <c r="S25" s="351">
        <f>IF($B$15=AS_CalcoloPE!$D$2,HLOOKUP(S$19,ELV!O$2:O$21,19,FALSE),HLOOKUP(S$19,ELV!O$2:O$21,20,FALSE))</f>
        <v>0</v>
      </c>
      <c r="T25" s="351">
        <f>IF($B$15=AS_CalcoloPE!$D$2,HLOOKUP(T$19,ELV!P$2:P$21,19,FALSE),HLOOKUP(T$19,ELV!P$2:P$21,20,FALSE))</f>
        <v>0</v>
      </c>
      <c r="U25" s="351">
        <f>IF($B$15=AS_CalcoloPE!$D$2,HLOOKUP(U$19,ELV!Q$2:Q$21,19,FALSE),HLOOKUP(U$19,ELV!Q$2:Q$21,20,FALSE))</f>
        <v>0</v>
      </c>
      <c r="V25" s="351">
        <f>IF($B$15=AS_CalcoloPE!$D$2,HLOOKUP(V$19,ELV!R$2:R$21,19,FALSE),HLOOKUP(V$19,ELV!R$2:R$21,20,FALSE))</f>
        <v>0</v>
      </c>
      <c r="W25" s="351">
        <f>IF($B$15=AS_CalcoloPE!$D$2,HLOOKUP(W$19,ELV!S$2:S$21,19,FALSE),HLOOKUP(W$19,ELV!S$2:S$21,20,FALSE))</f>
        <v>0</v>
      </c>
      <c r="X25" s="351">
        <f>IF($B$15=AS_CalcoloPE!$D$2,HLOOKUP(X$19,ELV!T$2:T$21,19,FALSE),HLOOKUP(X$19,ELV!T$2:T$21,20,FALSE))</f>
        <v>0</v>
      </c>
      <c r="Y25" s="351">
        <f>IF($B$15=AS_CalcoloPE!$D$2,HLOOKUP(Y$19,ELV!U$2:U$21,19,FALSE),HLOOKUP(Y$19,ELV!U$2:U$21,20,FALSE))</f>
        <v>0</v>
      </c>
      <c r="Z25" s="351">
        <f>IF($B$15=AS_CalcoloPE!$D$2,HLOOKUP(Z$19,ELV!V$2:V$21,19,FALSE),HLOOKUP(Z$19,ELV!V$2:V$21,20,FALSE))</f>
        <v>0</v>
      </c>
      <c r="AA25" s="351">
        <f>IF($B$15=AS_CalcoloPE!$D$2,HLOOKUP(AA$19,ELV!W$2:W$21,19,FALSE),HLOOKUP(AA$19,ELV!W$2:W$21,20,FALSE))</f>
        <v>0</v>
      </c>
      <c r="AB25" s="351">
        <f>IF($B$15=AS_CalcoloPE!$D$2,HLOOKUP(AB$19,ELV!X$2:X$21,19,FALSE),HLOOKUP(AB$19,ELV!X$2:X$21,20,FALSE))</f>
        <v>0</v>
      </c>
      <c r="AC25" s="351">
        <f>IF($B$15=AS_CalcoloPE!$D$2,HLOOKUP(AC$19,ELV!Y$2:Y$21,19,FALSE),HLOOKUP(AC$19,ELV!Y$2:Y$21,20,FALSE))</f>
        <v>0</v>
      </c>
      <c r="AD25" s="351">
        <f>IF($B$15=AS_CalcoloPE!$D$2,HLOOKUP(AD$19,ELV!Z$2:Z$21,19,FALSE),HLOOKUP(AD$19,ELV!Z$2:Z$21,20,FALSE))</f>
        <v>0</v>
      </c>
      <c r="AF25" s="351">
        <f>HLOOKUP(AF$19,ELV!G$2:G$4,3,FALSE)</f>
        <v>0</v>
      </c>
      <c r="AG25" s="351">
        <f>HLOOKUP(AG$19,ELV!H$2:H$4,3,FALSE)</f>
        <v>0</v>
      </c>
      <c r="AH25" s="351">
        <f>HLOOKUP(AH$19,ELV!I$2:I$4,3,FALSE)</f>
        <v>0</v>
      </c>
      <c r="AI25" s="351">
        <f>HLOOKUP(AI$19,ELV!J$2:J$4,3,FALSE)</f>
        <v>0</v>
      </c>
      <c r="AJ25" s="351">
        <f>HLOOKUP(AJ$19,ELV!K$2:K$4,3,FALSE)</f>
        <v>0</v>
      </c>
      <c r="AK25" s="351">
        <f>HLOOKUP(AK$19,ELV!L$2:L$4,3,FALSE)</f>
        <v>0</v>
      </c>
      <c r="AL25" s="351">
        <f>HLOOKUP(AL$19,ELV!M$2:M$4,3,FALSE)</f>
        <v>0</v>
      </c>
      <c r="AM25" s="351">
        <f>HLOOKUP(AM$19,ELV!N$2:N$4,3,FALSE)</f>
        <v>0</v>
      </c>
      <c r="AN25" s="351">
        <f>HLOOKUP(AN$19,ELV!O$2:O$4,3,FALSE)</f>
        <v>0</v>
      </c>
      <c r="AO25" s="351">
        <f>HLOOKUP(AO$19,ELV!P$2:P$4,3,FALSE)</f>
        <v>0</v>
      </c>
      <c r="AP25" s="351">
        <f>HLOOKUP(AP$19,ELV!Q$2:Q$4,3,FALSE)</f>
        <v>0</v>
      </c>
      <c r="AQ25" s="351">
        <f>HLOOKUP(AQ$19,ELV!R$2:R$4,3,FALSE)</f>
        <v>0</v>
      </c>
      <c r="AR25" s="351">
        <f>HLOOKUP(AR$19,ELV!S$2:S$4,3,FALSE)</f>
        <v>0</v>
      </c>
      <c r="AS25" s="351">
        <f>HLOOKUP(AS$19,ELV!T$2:T$4,3,FALSE)</f>
        <v>0</v>
      </c>
      <c r="AT25" s="351">
        <f>HLOOKUP(AT$19,ELV!U$2:U$4,3,FALSE)</f>
        <v>0</v>
      </c>
      <c r="AU25" s="351">
        <f>HLOOKUP(AU$19,ELV!V$2:V$4,3,FALSE)</f>
        <v>0</v>
      </c>
      <c r="AV25" s="351">
        <f>HLOOKUP(AV$19,ELV!W$2:W$4,3,FALSE)</f>
        <v>0</v>
      </c>
      <c r="AW25" s="351">
        <f>HLOOKUP(AW$19,ELV!X$2:X$4,3,FALSE)</f>
        <v>0</v>
      </c>
      <c r="AX25" s="351">
        <f>HLOOKUP(AX$19,ELV!Y$2:Y$4,3,FALSE)</f>
        <v>0</v>
      </c>
      <c r="AY25" s="351">
        <f>HLOOKUP(AY$19,ELV!Z$2:Z$4,3,FALSE)</f>
        <v>0</v>
      </c>
    </row>
    <row r="26" spans="1:51" x14ac:dyDescent="0.25">
      <c r="B26" s="792" t="s">
        <v>124</v>
      </c>
      <c r="C26" s="799"/>
      <c r="D26" s="803">
        <f>IF($B$15=AS_CalcoloPE!$D$2,AS_CalcoloPE!E17,AS_CalcoloPE!G17)</f>
        <v>0</v>
      </c>
      <c r="E26"/>
      <c r="F26"/>
      <c r="G26"/>
      <c r="H26"/>
      <c r="I26"/>
      <c r="J26" s="117"/>
      <c r="K26" s="355">
        <f>IF($B$15=AS_CalcoloPE!$D$2,HLOOKUP(K$19,ANT!G$2:G$67,65,FALSE),HLOOKUP(K$19,ANT!G$2:G$67,66,FALSE))</f>
        <v>0</v>
      </c>
      <c r="L26" s="355">
        <f>IF($B$15=AS_CalcoloPE!$D$2,HLOOKUP(L$19,ANT!H$2:H$67,65,FALSE),HLOOKUP(L$19,ANT!H$2:H$67,66,FALSE))</f>
        <v>0</v>
      </c>
      <c r="M26" s="355">
        <f>IF($B$15=AS_CalcoloPE!$D$2,HLOOKUP(M$19,ANT!I$2:I$67,65,FALSE),HLOOKUP(M$19,ANT!I$2:I$67,66,FALSE))</f>
        <v>0</v>
      </c>
      <c r="N26" s="355">
        <f>IF($B$15=AS_CalcoloPE!$D$2,HLOOKUP(N$19,ANT!J$2:J$67,65,FALSE),HLOOKUP(N$19,ANT!J$2:J$67,66,FALSE))</f>
        <v>0</v>
      </c>
      <c r="O26" s="355">
        <f>IF($B$15=AS_CalcoloPE!$D$2,HLOOKUP(O$19,ANT!K$2:K$67,65,FALSE),HLOOKUP(O$19,ANT!K$2:K$67,66,FALSE))</f>
        <v>0</v>
      </c>
      <c r="P26" s="355">
        <f>IF($B$15=AS_CalcoloPE!$D$2,HLOOKUP(P$19,ANT!L$2:L$67,65,FALSE),HLOOKUP(P$19,ANT!L$2:L$67,66,FALSE))</f>
        <v>0</v>
      </c>
      <c r="Q26" s="355">
        <f>IF($B$15=AS_CalcoloPE!$D$2,HLOOKUP(Q$19,ANT!M$2:M$67,65,FALSE),HLOOKUP(Q$19,ANT!M$2:M$67,66,FALSE))</f>
        <v>0</v>
      </c>
      <c r="R26" s="355">
        <f>IF($B$15=AS_CalcoloPE!$D$2,HLOOKUP(R$19,ANT!N$2:N$67,65,FALSE),HLOOKUP(R$19,ANT!N$2:N$67,66,FALSE))</f>
        <v>0</v>
      </c>
      <c r="S26" s="355">
        <f>IF($B$15=AS_CalcoloPE!$D$2,HLOOKUP(S$19,ANT!O$2:O$67,65,FALSE),HLOOKUP(S$19,ANT!O$2:O$67,66,FALSE))</f>
        <v>0</v>
      </c>
      <c r="T26" s="355">
        <f>IF($B$15=AS_CalcoloPE!$D$2,HLOOKUP(T$19,ANT!P$2:P$67,65,FALSE),HLOOKUP(T$19,ANT!P$2:P$67,66,FALSE))</f>
        <v>0</v>
      </c>
      <c r="U26" s="355">
        <f>IF($B$15=AS_CalcoloPE!$D$2,HLOOKUP(U$19,ANT!Q$2:Q$67,65,FALSE),HLOOKUP(U$19,ANT!Q$2:Q$67,66,FALSE))</f>
        <v>0</v>
      </c>
      <c r="V26" s="355">
        <f>IF($B$15=AS_CalcoloPE!$D$2,HLOOKUP(V$19,ANT!R$2:R$67,65,FALSE),HLOOKUP(V$19,ANT!R$2:R$67,66,FALSE))</f>
        <v>0</v>
      </c>
      <c r="W26" s="355">
        <f>IF($B$15=AS_CalcoloPE!$D$2,HLOOKUP(W$19,ANT!S$2:S$67,65,FALSE),HLOOKUP(W$19,ANT!S$2:S$67,66,FALSE))</f>
        <v>0</v>
      </c>
      <c r="X26" s="355">
        <f>IF($B$15=AS_CalcoloPE!$D$2,HLOOKUP(X$19,ANT!T$2:T$67,65,FALSE),HLOOKUP(X$19,ANT!T$2:T$67,66,FALSE))</f>
        <v>0</v>
      </c>
      <c r="Y26" s="355">
        <f>IF($B$15=AS_CalcoloPE!$D$2,HLOOKUP(Y$19,ANT!U$2:U$67,65,FALSE),HLOOKUP(Y$19,ANT!U$2:U$67,66,FALSE))</f>
        <v>0</v>
      </c>
      <c r="Z26" s="355">
        <f>IF($B$15=AS_CalcoloPE!$D$2,HLOOKUP(Z$19,ANT!V$2:V$67,65,FALSE),HLOOKUP(Z$19,ANT!V$2:V$67,66,FALSE))</f>
        <v>0</v>
      </c>
      <c r="AA26" s="355">
        <f>IF($B$15=AS_CalcoloPE!$D$2,HLOOKUP(AA$19,ANT!W$2:W$67,65,FALSE),HLOOKUP(AA$19,ANT!W$2:W$67,66,FALSE))</f>
        <v>0</v>
      </c>
      <c r="AB26" s="355">
        <f>IF($B$15=AS_CalcoloPE!$D$2,HLOOKUP(AB$19,ANT!X$2:X$67,65,FALSE),HLOOKUP(AB$19,ANT!X$2:X$67,66,FALSE))</f>
        <v>0</v>
      </c>
      <c r="AC26" s="355">
        <f>IF($B$15=AS_CalcoloPE!$D$2,HLOOKUP(AC$19,ANT!Y$2:Y$67,65,FALSE),HLOOKUP(AC$19,ANT!Y$2:Y$67,66,FALSE))</f>
        <v>0</v>
      </c>
      <c r="AD26" s="355">
        <f>IF($B$15=AS_CalcoloPE!$D$2,HLOOKUP(AD$19,ANT!Z$2:Z$67,65,FALSE),HLOOKUP(AD$19,ANT!Z$2:Z$67,66,FALSE))</f>
        <v>0</v>
      </c>
      <c r="AF26" s="355">
        <f>HLOOKUP(AF$19,ANT!G$2:G$4,3,FALSE)</f>
        <v>0</v>
      </c>
      <c r="AG26" s="355">
        <f>HLOOKUP(AG$19,ANT!H$2:H$4,3,FALSE)</f>
        <v>0</v>
      </c>
      <c r="AH26" s="355">
        <f>HLOOKUP(AH$19,ANT!I$2:I$4,3,FALSE)</f>
        <v>0</v>
      </c>
      <c r="AI26" s="355">
        <f>HLOOKUP(AI$19,ANT!J$2:J$4,3,FALSE)</f>
        <v>0</v>
      </c>
      <c r="AJ26" s="355">
        <f>HLOOKUP(AJ$19,ANT!K$2:K$4,3,FALSE)</f>
        <v>0</v>
      </c>
      <c r="AK26" s="355">
        <f>HLOOKUP(AK$19,ANT!L$2:L$4,3,FALSE)</f>
        <v>0</v>
      </c>
      <c r="AL26" s="355">
        <f>HLOOKUP(AL$19,ANT!M$2:M$4,3,FALSE)</f>
        <v>0</v>
      </c>
      <c r="AM26" s="355">
        <f>HLOOKUP(AM$19,ANT!N$2:N$4,3,FALSE)</f>
        <v>0</v>
      </c>
      <c r="AN26" s="355">
        <f>HLOOKUP(AN$19,ANT!O$2:O$4,3,FALSE)</f>
        <v>0</v>
      </c>
      <c r="AO26" s="355">
        <f>HLOOKUP(AO$19,ANT!P$2:P$4,3,FALSE)</f>
        <v>0</v>
      </c>
      <c r="AP26" s="355">
        <f>HLOOKUP(AP$19,ANT!Q$2:Q$4,3,FALSE)</f>
        <v>0</v>
      </c>
      <c r="AQ26" s="355">
        <f>HLOOKUP(AQ$19,ANT!R$2:R$4,3,FALSE)</f>
        <v>0</v>
      </c>
      <c r="AR26" s="355">
        <f>HLOOKUP(AR$19,ANT!S$2:S$4,3,FALSE)</f>
        <v>0</v>
      </c>
      <c r="AS26" s="355">
        <f>HLOOKUP(AS$19,ANT!T$2:T$4,3,FALSE)</f>
        <v>0</v>
      </c>
      <c r="AT26" s="355">
        <f>HLOOKUP(AT$19,ANT!U$2:U$4,3,FALSE)</f>
        <v>0</v>
      </c>
      <c r="AU26" s="355">
        <f>HLOOKUP(AU$19,ANT!V$2:V$4,3,FALSE)</f>
        <v>0</v>
      </c>
      <c r="AV26" s="355">
        <f>HLOOKUP(AV$19,ANT!W$2:W$4,3,FALSE)</f>
        <v>0</v>
      </c>
      <c r="AW26" s="355">
        <f>HLOOKUP(AW$19,ANT!X$2:X$4,3,FALSE)</f>
        <v>0</v>
      </c>
      <c r="AX26" s="355">
        <f>HLOOKUP(AX$19,ANT!Y$2:Y$4,3,FALSE)</f>
        <v>0</v>
      </c>
      <c r="AY26" s="355">
        <f>HLOOKUP(AY$19,ANT!Z$2:Z$4,3,FALSE)</f>
        <v>0</v>
      </c>
    </row>
    <row r="27" spans="1:51" x14ac:dyDescent="0.25">
      <c r="B27" s="794" t="s">
        <v>140</v>
      </c>
      <c r="C27" s="799"/>
      <c r="D27" s="805">
        <f>IF($B$15=AS_CalcoloPE!$D$2,AS_CalcoloPE!E18,AS_CalcoloPE!G18)</f>
        <v>772888.12800000003</v>
      </c>
      <c r="E27"/>
      <c r="F27"/>
      <c r="G27"/>
      <c r="H27"/>
      <c r="I27"/>
      <c r="J27" s="117"/>
      <c r="K27" s="353">
        <f>IF($B$15=AS_CalcoloPE!$D$2,HLOOKUP(K$19,PTEC!E$2:E$57,55,FALSE),HLOOKUP(K$19,PTEC!E$2:E$57,56,FALSE))</f>
        <v>772888.12800000003</v>
      </c>
      <c r="L27" s="353">
        <f>IF($B$15=AS_CalcoloPE!$D$2,HLOOKUP(L$19,PTEC!F$2:F$57,55,FALSE),HLOOKUP(L$19,PTEC!F$2:F$57,56,FALSE))</f>
        <v>0</v>
      </c>
      <c r="M27" s="353">
        <f>IF($B$15=AS_CalcoloPE!$D$2,HLOOKUP(M$19,PTEC!G$2:G$57,55,FALSE),HLOOKUP(M$19,PTEC!G$2:G$57,56,FALSE))</f>
        <v>0</v>
      </c>
      <c r="N27" s="353">
        <f>IF($B$15=AS_CalcoloPE!$D$2,HLOOKUP(N$19,PTEC!H$2:H$57,55,FALSE),HLOOKUP(N$19,PTEC!H$2:H$57,56,FALSE))</f>
        <v>0</v>
      </c>
      <c r="O27" s="353">
        <f>IF($B$15=AS_CalcoloPE!$D$2,HLOOKUP(O$19,PTEC!I$2:I$57,55,FALSE),HLOOKUP(O$19,PTEC!I$2:I$57,56,FALSE))</f>
        <v>0</v>
      </c>
      <c r="P27" s="353">
        <f>IF($B$15=AS_CalcoloPE!$D$2,HLOOKUP(P$19,PTEC!J$2:J$57,55,FALSE),HLOOKUP(P$19,PTEC!J$2:J$57,56,FALSE))</f>
        <v>0</v>
      </c>
      <c r="Q27" s="353">
        <f>IF($B$15=AS_CalcoloPE!$D$2,HLOOKUP(Q$19,PTEC!K$2:K$57,55,FALSE),HLOOKUP(Q$19,PTEC!K$2:K$57,56,FALSE))</f>
        <v>0</v>
      </c>
      <c r="R27" s="353">
        <f>IF($B$15=AS_CalcoloPE!$D$2,HLOOKUP(R$19,PTEC!L$2:L$57,55,FALSE),HLOOKUP(R$19,PTEC!L$2:L$57,56,FALSE))</f>
        <v>0</v>
      </c>
      <c r="S27" s="353">
        <f>IF($B$15=AS_CalcoloPE!$D$2,HLOOKUP(S$19,PTEC!M$2:M$57,55,FALSE),HLOOKUP(S$19,PTEC!M$2:M$57,56,FALSE))</f>
        <v>0</v>
      </c>
      <c r="T27" s="353">
        <f>IF($B$15=AS_CalcoloPE!$D$2,HLOOKUP(T$19,PTEC!N$2:N$57,55,FALSE),HLOOKUP(T$19,PTEC!N$2:N$57,56,FALSE))</f>
        <v>0</v>
      </c>
      <c r="U27" s="353">
        <f>IF($B$15=AS_CalcoloPE!$D$2,HLOOKUP(U$19,PTEC!O$2:O$57,55,FALSE),HLOOKUP(U$19,PTEC!O$2:O$57,56,FALSE))</f>
        <v>0</v>
      </c>
      <c r="V27" s="353">
        <f>IF($B$15=AS_CalcoloPE!$D$2,HLOOKUP(V$19,PTEC!P$2:P$57,55,FALSE),HLOOKUP(V$19,PTEC!P$2:P$57,56,FALSE))</f>
        <v>0</v>
      </c>
      <c r="W27" s="353">
        <f>IF($B$15=AS_CalcoloPE!$D$2,HLOOKUP(W$19,PTEC!Q$2:Q$57,55,FALSE),HLOOKUP(W$19,PTEC!Q$2:Q$57,56,FALSE))</f>
        <v>0</v>
      </c>
      <c r="X27" s="353">
        <f>IF($B$15=AS_CalcoloPE!$D$2,HLOOKUP(X$19,PTEC!R$2:R$57,55,FALSE),HLOOKUP(X$19,PTEC!R$2:R$57,56,FALSE))</f>
        <v>0</v>
      </c>
      <c r="Y27" s="353">
        <f>IF($B$15=AS_CalcoloPE!$D$2,HLOOKUP(Y$19,PTEC!S$2:S$57,55,FALSE),HLOOKUP(Y$19,PTEC!S$2:S$57,56,FALSE))</f>
        <v>0</v>
      </c>
      <c r="Z27" s="353">
        <f>IF($B$15=AS_CalcoloPE!$D$2,HLOOKUP(Z$19,PTEC!T$2:T$57,55,FALSE),HLOOKUP(Z$19,PTEC!T$2:T$57,56,FALSE))</f>
        <v>0</v>
      </c>
      <c r="AA27" s="353">
        <f>IF($B$15=AS_CalcoloPE!$D$2,HLOOKUP(AA$19,PTEC!U$2:U$57,55,FALSE),HLOOKUP(AA$19,PTEC!U$2:U$57,56,FALSE))</f>
        <v>0</v>
      </c>
      <c r="AB27" s="353">
        <f>IF($B$15=AS_CalcoloPE!$D$2,HLOOKUP(AB$19,PTEC!V$2:V$57,55,FALSE),HLOOKUP(AB$19,PTEC!V$2:V$57,56,FALSE))</f>
        <v>0</v>
      </c>
      <c r="AC27" s="353">
        <f>IF($B$15=AS_CalcoloPE!$D$2,HLOOKUP(AC$19,PTEC!W$2:W$57,55,FALSE),HLOOKUP(AC$19,PTEC!W$2:W$57,56,FALSE))</f>
        <v>0</v>
      </c>
      <c r="AD27" s="353">
        <f>IF($B$15=AS_CalcoloPE!$D$2,HLOOKUP(AD$19,PTEC!X$2:X$57,55,FALSE),HLOOKUP(AD$19,PTEC!X$2:X$57,56,FALSE))</f>
        <v>0</v>
      </c>
      <c r="AF27" s="353"/>
      <c r="AG27" s="353"/>
      <c r="AH27" s="353"/>
      <c r="AI27" s="353"/>
      <c r="AJ27" s="353"/>
      <c r="AK27" s="353"/>
      <c r="AL27" s="353"/>
      <c r="AM27" s="353"/>
      <c r="AN27" s="353"/>
      <c r="AO27" s="353"/>
      <c r="AP27" s="353"/>
      <c r="AQ27" s="353"/>
      <c r="AR27" s="353"/>
      <c r="AS27" s="353"/>
      <c r="AT27" s="353"/>
      <c r="AU27" s="353"/>
      <c r="AV27" s="353"/>
      <c r="AW27" s="353"/>
      <c r="AX27" s="353"/>
      <c r="AY27" s="353"/>
    </row>
    <row r="28" spans="1:51" x14ac:dyDescent="0.25">
      <c r="B28" s="795" t="s">
        <v>125</v>
      </c>
      <c r="C28" s="44"/>
      <c r="D28" s="801">
        <f>SUM(D29:D33)</f>
        <v>1773040.3446666661</v>
      </c>
      <c r="E28"/>
      <c r="F28"/>
      <c r="G28"/>
      <c r="H28"/>
      <c r="I28"/>
      <c r="J28" s="117"/>
      <c r="K28" s="358"/>
      <c r="L28" s="358"/>
      <c r="M28" s="358"/>
      <c r="N28" s="358"/>
      <c r="O28" s="358"/>
      <c r="P28" s="358"/>
      <c r="Q28" s="358"/>
      <c r="R28" s="358"/>
      <c r="S28" s="358"/>
      <c r="T28" s="358"/>
      <c r="U28" s="358"/>
      <c r="V28" s="358"/>
      <c r="W28" s="358"/>
      <c r="X28" s="358"/>
      <c r="Y28" s="358"/>
      <c r="Z28" s="358"/>
      <c r="AA28" s="358"/>
      <c r="AB28" s="358"/>
      <c r="AC28" s="358"/>
      <c r="AD28" s="358"/>
      <c r="AF28" s="358"/>
      <c r="AG28" s="358"/>
      <c r="AH28" s="358"/>
      <c r="AI28" s="358"/>
      <c r="AJ28" s="358"/>
      <c r="AK28" s="358"/>
      <c r="AL28" s="358"/>
      <c r="AM28" s="358"/>
      <c r="AN28" s="358"/>
      <c r="AO28" s="358"/>
      <c r="AP28" s="358"/>
      <c r="AQ28" s="358"/>
      <c r="AR28" s="358"/>
      <c r="AS28" s="358"/>
      <c r="AT28" s="358"/>
      <c r="AU28" s="358"/>
      <c r="AV28" s="358"/>
      <c r="AW28" s="358"/>
      <c r="AX28" s="358"/>
      <c r="AY28" s="358"/>
    </row>
    <row r="29" spans="1:51" x14ac:dyDescent="0.25">
      <c r="B29" s="791" t="s">
        <v>5</v>
      </c>
      <c r="C29" s="799"/>
      <c r="D29" s="802">
        <f>IF($B$15=AS_CalcoloPE!$D$2,AS_CalcoloPE!E20,AS_CalcoloPE!G20)</f>
        <v>1517126.6879999996</v>
      </c>
      <c r="E29"/>
      <c r="F29"/>
      <c r="G29"/>
      <c r="H29"/>
      <c r="I29"/>
      <c r="J29" s="117"/>
      <c r="K29" s="349">
        <f>IF($B$15=AS_CalcoloPE!$D$2,HLOOKUP(K$19,PUL_AB!I$2:I$98,96,FALSE),HLOOKUP(K$19,PUL_AB!I$2:I$98,97,FALSE))+IF($B$15=AS_CalcoloPE!$D$2,HLOOKUP(K$19,PUL_ARP!F$2:F$69,67,FALSE),HLOOKUP(K$19,PUL_ARP!F$2:F$69,68,FALSE))</f>
        <v>1517126.6879999996</v>
      </c>
      <c r="L29" s="349">
        <f>IF($B$15=AS_CalcoloPE!$D$2,HLOOKUP(L$19,PUL_AB!J$2:J$98,96,FALSE),HLOOKUP(L$19,PUL_AB!J$2:J$98,97,FALSE))+IF($B$15=AS_CalcoloPE!$D$2,HLOOKUP(L$19,PUL_ARP!H$2:H$69,67,FALSE),HLOOKUP(L$19,PUL_ARP!H$2:H$69,68,FALSE))</f>
        <v>0</v>
      </c>
      <c r="M29" s="349">
        <f>IF($B$15=AS_CalcoloPE!$D$2,HLOOKUP(M$19,PUL_AB!K$2:K$98,96,FALSE),HLOOKUP(M$19,PUL_AB!K$2:K$98,97,FALSE))+IF($B$15=AS_CalcoloPE!$D$2,HLOOKUP(M$19,PUL_ARP!J$2:J$69,67,FALSE),HLOOKUP(M$19,PUL_ARP!J$2:J$69,68,FALSE))</f>
        <v>0</v>
      </c>
      <c r="N29" s="349">
        <f>IF($B$15=AS_CalcoloPE!$D$2,HLOOKUP(N$19,PUL_AB!L$2:L$98,96,FALSE),HLOOKUP(N$19,PUL_AB!L$2:L$98,97,FALSE))+IF($B$15=AS_CalcoloPE!$D$2,HLOOKUP(N$19,PUL_ARP!L$2:L$69,67,FALSE),HLOOKUP(N$19,PUL_ARP!L$2:L$69,68,FALSE))</f>
        <v>0</v>
      </c>
      <c r="O29" s="349">
        <f>IF($B$15=AS_CalcoloPE!$D$2,HLOOKUP(O$19,PUL_AB!M$2:M$98,96,FALSE),HLOOKUP(O$19,PUL_AB!M$2:M$98,97,FALSE))+IF($B$15=AS_CalcoloPE!$D$2,HLOOKUP(O$19,PUL_ARP!N$2:N$69,67,FALSE),HLOOKUP(O$19,PUL_ARP!N$2:N$69,68,FALSE))</f>
        <v>0</v>
      </c>
      <c r="P29" s="349">
        <f>IF($B$15=AS_CalcoloPE!$D$2,HLOOKUP(P$19,PUL_AB!N$2:N$98,96,FALSE),HLOOKUP(P$19,PUL_AB!N$2:N$98,97,FALSE))+IF($B$15=AS_CalcoloPE!$D$2,HLOOKUP(P$19,PUL_ARP!P$2:P$69,67,FALSE),HLOOKUP(P$19,PUL_ARP!P$2:P$69,68,FALSE))</f>
        <v>0</v>
      </c>
      <c r="Q29" s="349">
        <f>IF($B$15=AS_CalcoloPE!$D$2,HLOOKUP(Q$19,PUL_AB!O$2:O$98,96,FALSE),HLOOKUP(Q$19,PUL_AB!O$2:O$98,97,FALSE))+IF($B$15=AS_CalcoloPE!$D$2,HLOOKUP(Q$19,PUL_ARP!R$2:R$69,67,FALSE),HLOOKUP(Q$19,PUL_ARP!R$2:R$69,68,FALSE))</f>
        <v>0</v>
      </c>
      <c r="R29" s="349">
        <f>IF($B$15=AS_CalcoloPE!$D$2,HLOOKUP(R$19,PUL_AB!P$2:P$98,96,FALSE),HLOOKUP(R$19,PUL_AB!P$2:P$98,97,FALSE))+IF($B$15=AS_CalcoloPE!$D$2,HLOOKUP(R$19,PUL_ARP!T$2:T$69,67,FALSE),HLOOKUP(R$19,PUL_ARP!T$2:T$69,68,FALSE))</f>
        <v>0</v>
      </c>
      <c r="S29" s="349">
        <f>IF($B$15=AS_CalcoloPE!$D$2,HLOOKUP(S$19,PUL_AB!Q$2:Q$98,96,FALSE),HLOOKUP(S$19,PUL_AB!Q$2:Q$98,97,FALSE))+IF($B$15=AS_CalcoloPE!$D$2,HLOOKUP(S$19,PUL_ARP!V$2:V$69,67,FALSE),HLOOKUP(S$19,PUL_ARP!V$2:V$69,68,FALSE))</f>
        <v>0</v>
      </c>
      <c r="T29" s="349">
        <f>IF($B$15=AS_CalcoloPE!$D$2,HLOOKUP(T$19,PUL_AB!R$2:R$98,96,FALSE),HLOOKUP(T$19,PUL_AB!R$2:R$98,97,FALSE))+IF($B$15=AS_CalcoloPE!$D$2,HLOOKUP(T$19,PUL_ARP!X$2:X$69,67,FALSE),HLOOKUP(T$19,PUL_ARP!X$2:X$69,68,FALSE))</f>
        <v>0</v>
      </c>
      <c r="U29" s="349">
        <f>IF($B$15=AS_CalcoloPE!$D$2,HLOOKUP(U$19,PUL_AB!S$2:S$98,96,FALSE),HLOOKUP(U$19,PUL_AB!S$2:S$98,97,FALSE))+IF($B$15=AS_CalcoloPE!$D$2,HLOOKUP(U$19,PUL_ARP!Z$2:Z$69,67,FALSE),HLOOKUP(U$19,PUL_ARP!Z$2:Z$69,68,FALSE))</f>
        <v>0</v>
      </c>
      <c r="V29" s="349">
        <f>IF($B$15=AS_CalcoloPE!$D$2,HLOOKUP(V$19,PUL_AB!T$2:T$98,96,FALSE),HLOOKUP(V$19,PUL_AB!T$2:T$98,97,FALSE))+IF($B$15=AS_CalcoloPE!$D$2,HLOOKUP(V$19,PUL_ARP!AB$2:AB$69,67,FALSE),HLOOKUP(V$19,PUL_ARP!AB$2:AB$69,68,FALSE))</f>
        <v>0</v>
      </c>
      <c r="W29" s="349">
        <f>IF($B$15=AS_CalcoloPE!$D$2,HLOOKUP(W$19,PUL_AB!U$2:U$98,96,FALSE),HLOOKUP(W$19,PUL_AB!U$2:U$98,97,FALSE))+IF($B$15=AS_CalcoloPE!$D$2,HLOOKUP(W$19,PUL_ARP!AD$2:AD$69,67,FALSE),HLOOKUP(W$19,PUL_ARP!AD$2:AD$69,68,FALSE))</f>
        <v>0</v>
      </c>
      <c r="X29" s="349">
        <f>IF($B$15=AS_CalcoloPE!$D$2,HLOOKUP(X$19,PUL_AB!V$2:V$98,96,FALSE),HLOOKUP(X$19,PUL_AB!V$2:V$98,97,FALSE))+IF($B$15=AS_CalcoloPE!$D$2,HLOOKUP(X$19,PUL_ARP!AF$2:AF$69,67,FALSE),HLOOKUP(X$19,PUL_ARP!AF$2:AF$69,68,FALSE))</f>
        <v>0</v>
      </c>
      <c r="Y29" s="349">
        <f>IF($B$15=AS_CalcoloPE!$D$2,HLOOKUP(Y$19,PUL_AB!W$2:W$98,96,FALSE),HLOOKUP(Y$19,PUL_AB!W$2:W$98,97,FALSE))+IF($B$15=AS_CalcoloPE!$D$2,HLOOKUP(Y$19,PUL_ARP!AH$2:AH$69,67,FALSE),HLOOKUP(Y$19,PUL_ARP!AH$2:AH$69,68,FALSE))</f>
        <v>0</v>
      </c>
      <c r="Z29" s="349">
        <f>IF($B$15=AS_CalcoloPE!$D$2,HLOOKUP(Z$19,PUL_AB!X$2:X$98,96,FALSE),HLOOKUP(Z$19,PUL_AB!X$2:X$98,97,FALSE))+IF($B$15=AS_CalcoloPE!$D$2,HLOOKUP(Z$19,PUL_ARP!AJ$2:AJ$69,67,FALSE),HLOOKUP(Z$19,PUL_ARP!AJ$2:AJ$69,68,FALSE))</f>
        <v>0</v>
      </c>
      <c r="AA29" s="349">
        <f>IF($B$15=AS_CalcoloPE!$D$2,HLOOKUP(AA$19,PUL_AB!Y$2:Y$98,96,FALSE),HLOOKUP(AA$19,PUL_AB!Y$2:Y$98,97,FALSE))+IF($B$15=AS_CalcoloPE!$D$2,HLOOKUP(AA$19,PUL_ARP!AL$2:AL$69,67,FALSE),HLOOKUP(AA$19,PUL_ARP!AL$2:AL$69,68,FALSE))</f>
        <v>0</v>
      </c>
      <c r="AB29" s="349">
        <f>IF($B$15=AS_CalcoloPE!$D$2,HLOOKUP(AB$19,PUL_AB!Z$2:Z$98,96,FALSE),HLOOKUP(AB$19,PUL_AB!Z$2:Z$98,97,FALSE))+IF($B$15=AS_CalcoloPE!$D$2,HLOOKUP(AB$19,PUL_ARP!AN$2:AN$69,67,FALSE),HLOOKUP(AB$19,PUL_ARP!AN$2:AN$69,68,FALSE))</f>
        <v>0</v>
      </c>
      <c r="AC29" s="349">
        <f>IF($B$15=AS_CalcoloPE!$D$2,HLOOKUP(AC$19,PUL_AB!AA$2:AA$98,96,FALSE),HLOOKUP(AC$19,PUL_AB!AA$2:AA$98,97,FALSE))+IF($B$15=AS_CalcoloPE!$D$2,HLOOKUP(AC$19,PUL_ARP!AP$2:AP$69,67,FALSE),HLOOKUP(AC$19,PUL_ARP!AP$2:AP$69,68,FALSE))</f>
        <v>0</v>
      </c>
      <c r="AD29" s="349">
        <f>IF($B$15=AS_CalcoloPE!$D$2,HLOOKUP(AD$19,PUL_AB!AB$2:AB$98,96,FALSE),HLOOKUP(AD$19,PUL_AB!AB$2:AB$98,97,FALSE))+IF($B$15=AS_CalcoloPE!$D$2,HLOOKUP(AD$19,PUL_ARP!AR$2:AR$69,67,FALSE),HLOOKUP(AD$19,PUL_ARP!AR$2:AR$69,68,FALSE))</f>
        <v>0</v>
      </c>
      <c r="AF29" s="349">
        <f>HLOOKUP(AF$19,PUL_AB!I$2:I$4,3,FALSE)</f>
        <v>48</v>
      </c>
      <c r="AG29" s="349">
        <f>HLOOKUP(AG$19,PUL_AB!J$2:J$4,3,FALSE)</f>
        <v>0</v>
      </c>
      <c r="AH29" s="349">
        <f>HLOOKUP(AH$19,PUL_AB!K$2:K$4,3,FALSE)</f>
        <v>0</v>
      </c>
      <c r="AI29" s="349">
        <f>HLOOKUP(AI$19,PUL_AB!L$2:L$4,3,FALSE)</f>
        <v>0</v>
      </c>
      <c r="AJ29" s="349">
        <f>HLOOKUP(AJ$19,PUL_AB!M$2:M$4,3,FALSE)</f>
        <v>0</v>
      </c>
      <c r="AK29" s="349">
        <f>HLOOKUP(AK$19,PUL_AB!N$2:N$4,3,FALSE)</f>
        <v>0</v>
      </c>
      <c r="AL29" s="349">
        <f>HLOOKUP(AL$19,PUL_AB!O$2:O$4,3,FALSE)</f>
        <v>0</v>
      </c>
      <c r="AM29" s="349">
        <f>HLOOKUP(AM$19,PUL_AB!P$2:P$4,3,FALSE)</f>
        <v>0</v>
      </c>
      <c r="AN29" s="349">
        <f>HLOOKUP(AN$19,PUL_AB!Q$2:Q$4,3,FALSE)</f>
        <v>0</v>
      </c>
      <c r="AO29" s="349">
        <f>HLOOKUP(AO$19,PUL_AB!R$2:R$4,3,FALSE)</f>
        <v>0</v>
      </c>
      <c r="AP29" s="349">
        <f>HLOOKUP(AP$19,PUL_AB!S$2:S$4,3,FALSE)</f>
        <v>0</v>
      </c>
      <c r="AQ29" s="349">
        <f>HLOOKUP(AQ$19,PUL_AB!T$2:T$4,3,FALSE)</f>
        <v>0</v>
      </c>
      <c r="AR29" s="349">
        <f>HLOOKUP(AR$19,PUL_AB!U$2:U$4,3,FALSE)</f>
        <v>0</v>
      </c>
      <c r="AS29" s="349">
        <f>HLOOKUP(AS$19,PUL_AB!V$2:V$4,3,FALSE)</f>
        <v>0</v>
      </c>
      <c r="AT29" s="349">
        <f>HLOOKUP(AT$19,PUL_AB!W$2:W$4,3,FALSE)</f>
        <v>0</v>
      </c>
      <c r="AU29" s="349">
        <f>HLOOKUP(AU$19,PUL_AB!X$2:X$4,3,FALSE)</f>
        <v>0</v>
      </c>
      <c r="AV29" s="349">
        <f>HLOOKUP(AV$19,PUL_AB!Y$2:Y$4,3,FALSE)</f>
        <v>0</v>
      </c>
      <c r="AW29" s="349">
        <f>HLOOKUP(AW$19,PUL_AB!Z$2:Z$4,3,FALSE)</f>
        <v>0</v>
      </c>
      <c r="AX29" s="349">
        <f>HLOOKUP(AX$19,PUL_AB!AA$2:AA$4,3,FALSE)</f>
        <v>0</v>
      </c>
      <c r="AY29" s="349">
        <f>HLOOKUP(AY$19,PUL_AB!AB$2:AB$4,3,FALSE)</f>
        <v>0</v>
      </c>
    </row>
    <row r="30" spans="1:51" x14ac:dyDescent="0.25">
      <c r="B30" s="792" t="s">
        <v>129</v>
      </c>
      <c r="C30" s="799"/>
      <c r="D30" s="803">
        <f>IF($B$15=AS_CalcoloPE!$D$2,AS_CalcoloPE!E21,AS_CalcoloPE!G21)</f>
        <v>0</v>
      </c>
      <c r="E30"/>
      <c r="F30"/>
      <c r="G30"/>
      <c r="H30"/>
      <c r="I30"/>
      <c r="J30" s="117"/>
      <c r="K30" s="355">
        <f>IF($B$15=AS_CalcoloPE!$D$2,HLOOKUP(K$19,PPUL!E$2:E$21,19,FALSE),HLOOKUP(K$19,PPUL!E$2:E$21,20,FALSE))</f>
        <v>0</v>
      </c>
      <c r="L30" s="355">
        <f>IF($B$15=AS_CalcoloPE!$D$2,HLOOKUP(L$19,PPUL!F$2:F$21,19,FALSE),HLOOKUP(L$19,PPUL!F$2:F$21,20,FALSE))</f>
        <v>0</v>
      </c>
      <c r="M30" s="355">
        <f>IF($B$15=AS_CalcoloPE!$D$2,HLOOKUP(M$19,PPUL!G$2:G$21,19,FALSE),HLOOKUP(M$19,PPUL!G$2:G$21,20,FALSE))</f>
        <v>0</v>
      </c>
      <c r="N30" s="355">
        <f>IF($B$15=AS_CalcoloPE!$D$2,HLOOKUP(N$19,PPUL!H$2:H$21,19,FALSE),HLOOKUP(N$19,PPUL!H$2:H$21,20,FALSE))</f>
        <v>0</v>
      </c>
      <c r="O30" s="355">
        <f>IF($B$15=AS_CalcoloPE!$D$2,HLOOKUP(O$19,PPUL!I$2:I$21,19,FALSE),HLOOKUP(O$19,PPUL!I$2:I$21,20,FALSE))</f>
        <v>0</v>
      </c>
      <c r="P30" s="355">
        <f>IF($B$15=AS_CalcoloPE!$D$2,HLOOKUP(P$19,PPUL!J$2:J$21,19,FALSE),HLOOKUP(P$19,PPUL!J$2:J$21,20,FALSE))</f>
        <v>0</v>
      </c>
      <c r="Q30" s="355">
        <f>IF($B$15=AS_CalcoloPE!$D$2,HLOOKUP(Q$19,PPUL!K$2:K$21,19,FALSE),HLOOKUP(Q$19,PPUL!K$2:K$21,20,FALSE))</f>
        <v>0</v>
      </c>
      <c r="R30" s="355">
        <f>IF($B$15=AS_CalcoloPE!$D$2,HLOOKUP(R$19,PPUL!L$2:L$21,19,FALSE),HLOOKUP(R$19,PPUL!L$2:L$21,20,FALSE))</f>
        <v>0</v>
      </c>
      <c r="S30" s="355">
        <f>IF($B$15=AS_CalcoloPE!$D$2,HLOOKUP(S$19,PPUL!M$2:M$21,19,FALSE),HLOOKUP(S$19,PPUL!M$2:M$21,20,FALSE))</f>
        <v>0</v>
      </c>
      <c r="T30" s="355">
        <f>IF($B$15=AS_CalcoloPE!$D$2,HLOOKUP(T$19,PPUL!N$2:N$21,19,FALSE),HLOOKUP(T$19,PPUL!N$2:N$21,20,FALSE))</f>
        <v>0</v>
      </c>
      <c r="U30" s="355">
        <f>IF($B$15=AS_CalcoloPE!$D$2,HLOOKUP(U$19,PPUL!O$2:O$21,19,FALSE),HLOOKUP(U$19,PPUL!O$2:O$21,20,FALSE))</f>
        <v>0</v>
      </c>
      <c r="V30" s="355">
        <f>IF($B$15=AS_CalcoloPE!$D$2,HLOOKUP(V$19,PPUL!P$2:P$21,19,FALSE),HLOOKUP(V$19,PPUL!P$2:P$21,20,FALSE))</f>
        <v>0</v>
      </c>
      <c r="W30" s="355">
        <f>IF($B$15=AS_CalcoloPE!$D$2,HLOOKUP(W$19,PPUL!Q$2:Q$21,19,FALSE),HLOOKUP(W$19,PPUL!Q$2:Q$21,20,FALSE))</f>
        <v>0</v>
      </c>
      <c r="X30" s="355">
        <f>IF($B$15=AS_CalcoloPE!$D$2,HLOOKUP(X$19,PPUL!R$2:R$21,19,FALSE),HLOOKUP(X$19,PPUL!R$2:R$21,20,FALSE))</f>
        <v>0</v>
      </c>
      <c r="Y30" s="355">
        <f>IF($B$15=AS_CalcoloPE!$D$2,HLOOKUP(Y$19,PPUL!S$2:S$21,19,FALSE),HLOOKUP(Y$19,PPUL!S$2:S$21,20,FALSE))</f>
        <v>0</v>
      </c>
      <c r="Z30" s="355">
        <f>IF($B$15=AS_CalcoloPE!$D$2,HLOOKUP(Z$19,PPUL!T$2:T$21,19,FALSE),HLOOKUP(Z$19,PPUL!T$2:T$21,20,FALSE))</f>
        <v>0</v>
      </c>
      <c r="AA30" s="355">
        <f>IF($B$15=AS_CalcoloPE!$D$2,HLOOKUP(AA$19,PPUL!U$2:U$21,19,FALSE),HLOOKUP(AA$19,PPUL!U$2:U$21,20,FALSE))</f>
        <v>0</v>
      </c>
      <c r="AB30" s="355">
        <f>IF($B$15=AS_CalcoloPE!$D$2,HLOOKUP(AB$19,PPUL!V$2:V$21,19,FALSE),HLOOKUP(AB$19,PPUL!V$2:V$21,20,FALSE))</f>
        <v>0</v>
      </c>
      <c r="AC30" s="355">
        <f>IF($B$15=AS_CalcoloPE!$D$2,HLOOKUP(AC$19,PPUL!W$2:W$21,19,FALSE),HLOOKUP(AC$19,PPUL!W$2:W$21,20,FALSE))</f>
        <v>0</v>
      </c>
      <c r="AD30" s="355">
        <f>IF($B$15=AS_CalcoloPE!$D$2,HLOOKUP(AD$19,PPUL!X$2:X$21,19,FALSE),HLOOKUP(AD$19,PPUL!X$2:X$21,20,FALSE))</f>
        <v>0</v>
      </c>
      <c r="AF30" s="355"/>
      <c r="AG30" s="355"/>
      <c r="AH30" s="355"/>
      <c r="AI30" s="355"/>
      <c r="AJ30" s="355"/>
      <c r="AK30" s="355"/>
      <c r="AL30" s="355"/>
      <c r="AM30" s="355"/>
      <c r="AN30" s="355"/>
      <c r="AO30" s="355"/>
      <c r="AP30" s="355"/>
      <c r="AQ30" s="355"/>
      <c r="AR30" s="355"/>
      <c r="AS30" s="355"/>
      <c r="AT30" s="355"/>
      <c r="AU30" s="355"/>
      <c r="AV30" s="355"/>
      <c r="AW30" s="355"/>
      <c r="AX30" s="355"/>
      <c r="AY30" s="355"/>
    </row>
    <row r="31" spans="1:51" x14ac:dyDescent="0.25">
      <c r="B31" s="793" t="s">
        <v>126</v>
      </c>
      <c r="C31" s="799"/>
      <c r="D31" s="804">
        <f>IF($B$15=AS_CalcoloPE!$D$2,AS_CalcoloPE!E22,AS_CalcoloPE!G22)</f>
        <v>227448</v>
      </c>
      <c r="E31"/>
      <c r="F31"/>
      <c r="G31"/>
      <c r="H31"/>
      <c r="I31"/>
      <c r="J31" s="117"/>
      <c r="K31" s="351">
        <f>IF($B$15=AS_CalcoloPE!$D$2,HLOOKUP(K$19,DIS_AB!G$2:G$32,30,FALSE),HLOOKUP(K$19,DIS_AB!G$2:G$32,31,FALSE))+IF($B$15=AS_CalcoloPE!$D$2,HLOOKUP(K$19,DIS_ARP!F$2:F$15,13,FALSE),HLOOKUP(K$19,DIS_ARP!F$2:F$15,14,FALSE))</f>
        <v>227448</v>
      </c>
      <c r="L31" s="351">
        <f>IF($B$15=AS_CalcoloPE!$D$2,HLOOKUP(L$19,DIS_AB!H$2:H$32,30,FALSE),HLOOKUP(L$19,DIS_AB!H$2:H$32,31,FALSE))+IF($B$15=AS_CalcoloPE!$D$2,HLOOKUP(L$19,DIS_ARP!H$2:H$15,13,FALSE),HLOOKUP(L$19,DIS_ARP!H$2:H$15,14,FALSE))</f>
        <v>0</v>
      </c>
      <c r="M31" s="351">
        <f>IF($B$15=AS_CalcoloPE!$D$2,HLOOKUP(M$19,DIS_AB!I$2:I$32,30,FALSE),HLOOKUP(M$19,DIS_AB!I$2:I$32,31,FALSE))+IF($B$15=AS_CalcoloPE!$D$2,HLOOKUP(M$19,DIS_ARP!J$2:J$15,13,FALSE),HLOOKUP(M$19,DIS_ARP!J$2:J$15,14,FALSE))</f>
        <v>0</v>
      </c>
      <c r="N31" s="351">
        <f>IF($B$15=AS_CalcoloPE!$D$2,HLOOKUP(N$19,DIS_AB!J$2:J$32,30,FALSE),HLOOKUP(N$19,DIS_AB!J$2:J$32,31,FALSE))+IF($B$15=AS_CalcoloPE!$D$2,HLOOKUP(N$19,DIS_ARP!L$2:L$15,13,FALSE),HLOOKUP(N$19,DIS_ARP!L$2:L$15,14,FALSE))</f>
        <v>0</v>
      </c>
      <c r="O31" s="351">
        <f>IF($B$15=AS_CalcoloPE!$D$2,HLOOKUP(O$19,DIS_AB!K$2:K$32,30,FALSE),HLOOKUP(O$19,DIS_AB!K$2:K$32,31,FALSE))+IF($B$15=AS_CalcoloPE!$D$2,HLOOKUP(O$19,DIS_ARP!N$2:N$15,13,FALSE),HLOOKUP(O$19,DIS_ARP!N$2:N$15,14,FALSE))</f>
        <v>0</v>
      </c>
      <c r="P31" s="351">
        <f>IF($B$15=AS_CalcoloPE!$D$2,HLOOKUP(P$19,DIS_AB!L$2:L$32,30,FALSE),HLOOKUP(P$19,DIS_AB!L$2:L$32,31,FALSE))+IF($B$15=AS_CalcoloPE!$D$2,HLOOKUP(P$19,DIS_ARP!P$2:P$15,13,FALSE),HLOOKUP(P$19,DIS_ARP!P$2:P$15,14,FALSE))</f>
        <v>0</v>
      </c>
      <c r="Q31" s="351">
        <f>IF($B$15=AS_CalcoloPE!$D$2,HLOOKUP(Q$19,DIS_AB!M$2:M$32,30,FALSE),HLOOKUP(Q$19,DIS_AB!M$2:M$32,31,FALSE))+IF($B$15=AS_CalcoloPE!$D$2,HLOOKUP(Q$19,DIS_ARP!R$2:R$15,13,FALSE),HLOOKUP(Q$19,DIS_ARP!R$2:R$15,14,FALSE))</f>
        <v>0</v>
      </c>
      <c r="R31" s="351">
        <f>IF($B$15=AS_CalcoloPE!$D$2,HLOOKUP(R$19,DIS_AB!N$2:N$32,30,FALSE),HLOOKUP(R$19,DIS_AB!N$2:N$32,31,FALSE))+IF($B$15=AS_CalcoloPE!$D$2,HLOOKUP(R$19,DIS_ARP!T$2:T$15,13,FALSE),HLOOKUP(R$19,DIS_ARP!T$2:T$15,14,FALSE))</f>
        <v>0</v>
      </c>
      <c r="S31" s="351">
        <f>IF($B$15=AS_CalcoloPE!$D$2,HLOOKUP(S$19,DIS_AB!O$2:O$32,30,FALSE),HLOOKUP(S$19,DIS_AB!O$2:O$32,31,FALSE))+IF($B$15=AS_CalcoloPE!$D$2,HLOOKUP(S$19,DIS_ARP!V$2:V$15,13,FALSE),HLOOKUP(S$19,DIS_ARP!V$2:V$15,14,FALSE))</f>
        <v>0</v>
      </c>
      <c r="T31" s="351">
        <f>IF($B$15=AS_CalcoloPE!$D$2,HLOOKUP(T$19,DIS_AB!P$2:P$32,30,FALSE),HLOOKUP(T$19,DIS_AB!P$2:P$32,31,FALSE))+IF($B$15=AS_CalcoloPE!$D$2,HLOOKUP(T$19,DIS_ARP!X$2:X$15,13,FALSE),HLOOKUP(T$19,DIS_ARP!X$2:X$15,14,FALSE))</f>
        <v>0</v>
      </c>
      <c r="U31" s="351">
        <f>IF($B$15=AS_CalcoloPE!$D$2,HLOOKUP(U$19,DIS_AB!Q$2:Q$32,30,FALSE),HLOOKUP(U$19,DIS_AB!Q$2:Q$32,31,FALSE))+IF($B$15=AS_CalcoloPE!$D$2,HLOOKUP(U$19,DIS_ARP!Z$2:Z$15,13,FALSE),HLOOKUP(U$19,DIS_ARP!Z$2:Z$15,14,FALSE))</f>
        <v>0</v>
      </c>
      <c r="V31" s="351">
        <f>IF($B$15=AS_CalcoloPE!$D$2,HLOOKUP(V$19,DIS_AB!R$2:R$32,30,FALSE),HLOOKUP(V$19,DIS_AB!R$2:R$32,31,FALSE))+IF($B$15=AS_CalcoloPE!$D$2,HLOOKUP(V$19,DIS_ARP!AB$2:AB$15,13,FALSE),HLOOKUP(V$19,DIS_ARP!AB$2:AB$15,14,FALSE))</f>
        <v>0</v>
      </c>
      <c r="W31" s="351">
        <f>IF($B$15=AS_CalcoloPE!$D$2,HLOOKUP(W$19,DIS_AB!S$2:S$32,30,FALSE),HLOOKUP(W$19,DIS_AB!S$2:S$32,31,FALSE))+IF($B$15=AS_CalcoloPE!$D$2,HLOOKUP(W$19,DIS_ARP!AD$2:AD$15,13,FALSE),HLOOKUP(W$19,DIS_ARP!AD$2:AD$15,14,FALSE))</f>
        <v>0</v>
      </c>
      <c r="X31" s="351">
        <f>IF($B$15=AS_CalcoloPE!$D$2,HLOOKUP(X$19,DIS_AB!T$2:T$32,30,FALSE),HLOOKUP(X$19,DIS_AB!T$2:T$32,31,FALSE))+IF($B$15=AS_CalcoloPE!$D$2,HLOOKUP(X$19,DIS_ARP!AF$2:AF$15,13,FALSE),HLOOKUP(X$19,DIS_ARP!AF$2:AF$15,14,FALSE))</f>
        <v>0</v>
      </c>
      <c r="Y31" s="351">
        <f>IF($B$15=AS_CalcoloPE!$D$2,HLOOKUP(Y$19,DIS_AB!U$2:U$32,30,FALSE),HLOOKUP(Y$19,DIS_AB!U$2:U$32,31,FALSE))+IF($B$15=AS_CalcoloPE!$D$2,HLOOKUP(Y$19,DIS_ARP!AH$2:TAH$15,13,FALSE),HLOOKUP(Y$19,DIS_ARP!AH$2:AH$15,14,FALSE))</f>
        <v>0</v>
      </c>
      <c r="Z31" s="351">
        <f>IF($B$15=AS_CalcoloPE!$D$2,HLOOKUP(Z$19,DIS_AB!V$2:V$32,30,FALSE),HLOOKUP(Z$19,DIS_AB!V$2:V$32,31,FALSE))+IF($B$15=AS_CalcoloPE!$D$2,HLOOKUP(Z$19,DIS_ARP!AJ$2:AJ$15,13,FALSE),HLOOKUP(Z$19,DIS_ARP!AJ$2:AJ$15,14,FALSE))</f>
        <v>0</v>
      </c>
      <c r="AA31" s="351">
        <f>IF($B$15=AS_CalcoloPE!$D$2,HLOOKUP(AA$19,DIS_AB!W$2:W$32,30,FALSE),HLOOKUP(AA$19,DIS_AB!W$2:W$32,31,FALSE))+IF($B$15=AS_CalcoloPE!$D$2,HLOOKUP(AA$19,DIS_ARP!AL$2:AL$15,13,FALSE),HLOOKUP(AA$19,DIS_ARP!AL$2:AL$15,14,FALSE))</f>
        <v>0</v>
      </c>
      <c r="AB31" s="351">
        <f>IF($B$15=AS_CalcoloPE!$D$2,HLOOKUP(AB$19,DIS_AB!X$2:X$32,30,FALSE),HLOOKUP(AB$19,DIS_AB!X$2:X$32,31,FALSE))+IF($B$15=AS_CalcoloPE!$D$2,HLOOKUP(AB$19,DIS_ARP!AN$2:AN$15,13,FALSE),HLOOKUP(AB$19,DIS_ARP!AN$2:AN$15,14,FALSE))</f>
        <v>0</v>
      </c>
      <c r="AC31" s="351">
        <f>IF($B$15=AS_CalcoloPE!$D$2,HLOOKUP(AC$19,DIS_AB!Y$2:Y$32,30,FALSE),HLOOKUP(AC$19,DIS_AB!Y$2:Y$32,31,FALSE))+IF($B$15=AS_CalcoloPE!$D$2,HLOOKUP(AC$19,DIS_ARP!AP$2:AP$15,13,FALSE),HLOOKUP(AC$19,DIS_ARP!AP$2:AP$15,14,FALSE))</f>
        <v>0</v>
      </c>
      <c r="AD31" s="351">
        <f>IF($B$15=AS_CalcoloPE!$D$2,HLOOKUP(AD$19,DIS_AB!Z$2:Z$32,30,FALSE),HLOOKUP(AD$19,DIS_AB!Z$2:Z$32,31,FALSE))+IF($B$15=AS_CalcoloPE!$D$2,HLOOKUP(AD$19,DIS_ARP!AR$2:AR$15,13,FALSE),HLOOKUP(AD$19,DIS_ARP!AR$2:AR$15,14,FALSE))</f>
        <v>0</v>
      </c>
      <c r="AF31" s="351">
        <f>HLOOKUP(AF$19,DIS_AB!G$2:G$4,3,FALSE)</f>
        <v>48</v>
      </c>
      <c r="AG31" s="351">
        <f>HLOOKUP(AG$19,DIS_AB!H$2:H$4,3,FALSE)</f>
        <v>0</v>
      </c>
      <c r="AH31" s="351">
        <f>HLOOKUP(AH$19,DIS_AB!I$2:I$4,3,FALSE)</f>
        <v>0</v>
      </c>
      <c r="AI31" s="351">
        <f>HLOOKUP(AI$19,DIS_AB!J$2:J$4,3,FALSE)</f>
        <v>0</v>
      </c>
      <c r="AJ31" s="351">
        <f>HLOOKUP(AJ$19,DIS_AB!K$2:K$4,3,FALSE)</f>
        <v>0</v>
      </c>
      <c r="AK31" s="351">
        <f>HLOOKUP(AK$19,DIS_AB!L$2:L$4,3,FALSE)</f>
        <v>0</v>
      </c>
      <c r="AL31" s="351">
        <f>HLOOKUP(AL$19,DIS_AB!M$2:M$4,3,FALSE)</f>
        <v>0</v>
      </c>
      <c r="AM31" s="351">
        <f>HLOOKUP(AM$19,DIS_AB!N$2:N$4,3,FALSE)</f>
        <v>0</v>
      </c>
      <c r="AN31" s="351">
        <f>HLOOKUP(AN$19,DIS_AB!O$2:O$4,3,FALSE)</f>
        <v>0</v>
      </c>
      <c r="AO31" s="351">
        <f>HLOOKUP(AO$19,DIS_AB!P$2:P$4,3,FALSE)</f>
        <v>0</v>
      </c>
      <c r="AP31" s="351">
        <f>HLOOKUP(AP$19,DIS_AB!Q$2:Q$4,3,FALSE)</f>
        <v>0</v>
      </c>
      <c r="AQ31" s="351">
        <f>HLOOKUP(AQ$19,DIS_AB!R$2:R$4,3,FALSE)</f>
        <v>0</v>
      </c>
      <c r="AR31" s="351">
        <f>HLOOKUP(AR$19,DIS_AB!S$2:S$4,3,FALSE)</f>
        <v>0</v>
      </c>
      <c r="AS31" s="351">
        <f>HLOOKUP(AS$19,DIS_AB!T$2:T$4,3,FALSE)</f>
        <v>0</v>
      </c>
      <c r="AT31" s="351">
        <f>HLOOKUP(AT$19,DIS_AB!U$2:U$4,3,FALSE)</f>
        <v>0</v>
      </c>
      <c r="AU31" s="351">
        <f>HLOOKUP(AU$19,DIS_AB!V$2:V$4,3,FALSE)</f>
        <v>0</v>
      </c>
      <c r="AV31" s="351">
        <f>HLOOKUP(AV$19,DIS_AB!W$2:W$4,3,FALSE)</f>
        <v>0</v>
      </c>
      <c r="AW31" s="351">
        <f>HLOOKUP(AW$19,DIS_AB!X$2:X$4,3,FALSE)</f>
        <v>0</v>
      </c>
      <c r="AX31" s="351">
        <f>HLOOKUP(AX$19,DIS_AB!Y$2:Y$4,3,FALSE)</f>
        <v>0</v>
      </c>
      <c r="AY31" s="351">
        <f>HLOOKUP(AY$19,DIS_AB!Z$2:Z$4,3,FALSE)</f>
        <v>0</v>
      </c>
    </row>
    <row r="32" spans="1:51" x14ac:dyDescent="0.25">
      <c r="B32" s="792" t="s">
        <v>183</v>
      </c>
      <c r="C32" s="799"/>
      <c r="D32" s="803">
        <f>IF($B$15=AS_CalcoloPE!$D$2,AS_CalcoloPE!E23,AS_CalcoloPE!G23)</f>
        <v>5082.4000000000015</v>
      </c>
      <c r="E32"/>
      <c r="F32"/>
      <c r="G32"/>
      <c r="H32"/>
      <c r="I32"/>
      <c r="J32" s="117"/>
      <c r="K32" s="355">
        <f>IF($B$15=AS_CalcoloPE!$D$2,HLOOKUP(K$19,SMA!F$2:F$28,26,FALSE),HLOOKUP(K$19,SMA!F$2:F$28,27,FALSE))</f>
        <v>5082.4000000000015</v>
      </c>
      <c r="L32" s="355">
        <f>IF($B$15=AS_CalcoloPE!$D$2,HLOOKUP(L$19,SMA!G$2:G$28,26,FALSE),HLOOKUP(L$19,SMA!G$2:G$28,27,FALSE))</f>
        <v>0</v>
      </c>
      <c r="M32" s="355">
        <f>IF($B$15=AS_CalcoloPE!$D$2,HLOOKUP(M$19,SMA!H$2:H$28,26,FALSE),HLOOKUP(M$19,SMA!H$2:H$28,27,FALSE))</f>
        <v>0</v>
      </c>
      <c r="N32" s="355">
        <f>IF($B$15=AS_CalcoloPE!$D$2,HLOOKUP(N$19,SMA!I$2:I$28,26,FALSE),HLOOKUP(N$19,SMA!I$2:I$28,27,FALSE))</f>
        <v>0</v>
      </c>
      <c r="O32" s="355">
        <f>IF($B$15=AS_CalcoloPE!$D$2,HLOOKUP(O$19,SMA!J$2:J$28,26,FALSE),HLOOKUP(O$19,SMA!J$2:J$28,27,FALSE))</f>
        <v>0</v>
      </c>
      <c r="P32" s="355">
        <f>IF($B$15=AS_CalcoloPE!$D$2,HLOOKUP(P$19,SMA!K$2:K$28,26,FALSE),HLOOKUP(P$19,SMA!K$2:K$28,27,FALSE))</f>
        <v>0</v>
      </c>
      <c r="Q32" s="355">
        <f>IF($B$15=AS_CalcoloPE!$D$2,HLOOKUP(Q$19,SMA!L$2:L$28,26,FALSE),HLOOKUP(Q$19,SMA!L$2:L$28,27,FALSE))</f>
        <v>0</v>
      </c>
      <c r="R32" s="355">
        <f>IF($B$15=AS_CalcoloPE!$D$2,HLOOKUP(R$19,SMA!M$2:M$28,26,FALSE),HLOOKUP(R$19,SMA!M$2:M$28,27,FALSE))</f>
        <v>0</v>
      </c>
      <c r="S32" s="355">
        <f>IF($B$15=AS_CalcoloPE!$D$2,HLOOKUP(S$19,SMA!N$2:N$28,26,FALSE),HLOOKUP(S$19,SMA!N$2:N$28,27,FALSE))</f>
        <v>0</v>
      </c>
      <c r="T32" s="355">
        <f>IF($B$15=AS_CalcoloPE!$D$2,HLOOKUP(T$19,SMA!O$2:O$28,26,FALSE),HLOOKUP(T$19,SMA!O$2:O$28,27,FALSE))</f>
        <v>0</v>
      </c>
      <c r="U32" s="355">
        <f>IF($B$15=AS_CalcoloPE!$D$2,HLOOKUP(U$19,SMA!P$2:P$28,26,FALSE),HLOOKUP(U$19,SMA!P$2:P$28,27,FALSE))</f>
        <v>0</v>
      </c>
      <c r="V32" s="355">
        <f>IF($B$15=AS_CalcoloPE!$D$2,HLOOKUP(V$19,SMA!Q$2:Q$28,26,FALSE),HLOOKUP(V$19,SMA!Q$2:Q$28,27,FALSE))</f>
        <v>0</v>
      </c>
      <c r="W32" s="355">
        <f>IF($B$15=AS_CalcoloPE!$D$2,HLOOKUP(W$19,SMA!R$2:R$28,26,FALSE),HLOOKUP(W$19,SMA!R$2:R$28,27,FALSE))</f>
        <v>0</v>
      </c>
      <c r="X32" s="355">
        <f>IF($B$15=AS_CalcoloPE!$D$2,HLOOKUP(X$19,SMA!S$2:S$28,26,FALSE),HLOOKUP(X$19,SMA!S$2:S$28,27,FALSE))</f>
        <v>0</v>
      </c>
      <c r="Y32" s="355">
        <f>IF($B$15=AS_CalcoloPE!$D$2,HLOOKUP(Y$19,SMA!T$2:T$28,26,FALSE),HLOOKUP(Y$19,SMA!T$2:T$28,27,FALSE))</f>
        <v>0</v>
      </c>
      <c r="Z32" s="355">
        <f>IF($B$15=AS_CalcoloPE!$D$2,HLOOKUP(Z$19,SMA!U$2:U$28,26,FALSE),HLOOKUP(Z$19,SMA!U$2:U$28,27,FALSE))</f>
        <v>0</v>
      </c>
      <c r="AA32" s="355">
        <f>IF($B$15=AS_CalcoloPE!$D$2,HLOOKUP(AA$19,SMA!V$2:V$28,26,FALSE),HLOOKUP(AA$19,SMA!V$2:V$28,27,FALSE))</f>
        <v>0</v>
      </c>
      <c r="AB32" s="355">
        <f>IF($B$15=AS_CalcoloPE!$D$2,HLOOKUP(AB$19,SMA!W$2:W$28,26,FALSE),HLOOKUP(AB$19,SMA!W$2:W$28,27,FALSE))</f>
        <v>0</v>
      </c>
      <c r="AC32" s="355">
        <f>IF($B$15=AS_CalcoloPE!$D$2,HLOOKUP(AC$19,SMA!X$2:X$28,26,FALSE),HLOOKUP(AC$19,SMA!X$2:X$28,27,FALSE))</f>
        <v>0</v>
      </c>
      <c r="AD32" s="355">
        <f>IF($B$15=AS_CalcoloPE!$D$2,HLOOKUP(AD$19,SMA!Y$2:Y$28,26,FALSE),HLOOKUP(AD$19,SMA!Y$2:Y$28,27,FALSE))</f>
        <v>0</v>
      </c>
      <c r="AF32" s="355">
        <f>HLOOKUP(AF$19,SMA!F$2:F$4,3,FALSE)</f>
        <v>48</v>
      </c>
      <c r="AG32" s="355">
        <f>HLOOKUP(AG$19,SMA!G$2:G$4,3,FALSE)</f>
        <v>0</v>
      </c>
      <c r="AH32" s="355">
        <f>HLOOKUP(AH$19,SMA!H$2:H$4,3,FALSE)</f>
        <v>0</v>
      </c>
      <c r="AI32" s="355">
        <f>HLOOKUP(AI$19,SMA!I$2:I$4,3,FALSE)</f>
        <v>0</v>
      </c>
      <c r="AJ32" s="355">
        <f>HLOOKUP(AJ$19,SMA!J$2:J$4,3,FALSE)</f>
        <v>0</v>
      </c>
      <c r="AK32" s="355">
        <f>HLOOKUP(AK$19,SMA!K$2:K$4,3,FALSE)</f>
        <v>0</v>
      </c>
      <c r="AL32" s="355">
        <f>HLOOKUP(AL$19,SMA!L$2:L$4,3,FALSE)</f>
        <v>0</v>
      </c>
      <c r="AM32" s="355">
        <f>HLOOKUP(AM$19,SMA!M$2:M$4,3,FALSE)</f>
        <v>0</v>
      </c>
      <c r="AN32" s="355">
        <f>HLOOKUP(AN$19,SMA!N$2:N$4,3,FALSE)</f>
        <v>0</v>
      </c>
      <c r="AO32" s="355">
        <f>HLOOKUP(AO$19,SMA!O$2:O$4,3,FALSE)</f>
        <v>0</v>
      </c>
      <c r="AP32" s="355">
        <f>HLOOKUP(AP$19,SMA!P$2:P$4,3,FALSE)</f>
        <v>0</v>
      </c>
      <c r="AQ32" s="355">
        <f>HLOOKUP(AQ$19,SMA!Q$2:Q$4,3,FALSE)</f>
        <v>0</v>
      </c>
      <c r="AR32" s="355">
        <f>HLOOKUP(AR$19,SMA!R$2:R$4,3,FALSE)</f>
        <v>0</v>
      </c>
      <c r="AS32" s="355">
        <f>HLOOKUP(AS$19,SMA!S$2:S$4,3,FALSE)</f>
        <v>0</v>
      </c>
      <c r="AT32" s="355">
        <f>HLOOKUP(AT$19,SMA!T$2:T$4,3,FALSE)</f>
        <v>0</v>
      </c>
      <c r="AU32" s="355">
        <f>HLOOKUP(AU$19,SMA!U$2:U$4,3,FALSE)</f>
        <v>0</v>
      </c>
      <c r="AV32" s="355">
        <f>HLOOKUP(AV$19,SMA!V$2:V$4,3,FALSE)</f>
        <v>0</v>
      </c>
      <c r="AW32" s="355">
        <f>HLOOKUP(AW$19,SMA!W$2:W$4,3,FALSE)</f>
        <v>0</v>
      </c>
      <c r="AX32" s="355">
        <f>HLOOKUP(AX$19,SMA!X$2:X$4,3,FALSE)</f>
        <v>0</v>
      </c>
      <c r="AY32" s="355">
        <f>HLOOKUP(AY$19,SMA!Y$2:Y$4,3,FALSE)</f>
        <v>0</v>
      </c>
    </row>
    <row r="33" spans="2:51" x14ac:dyDescent="0.25">
      <c r="B33" s="794" t="s">
        <v>184</v>
      </c>
      <c r="C33" s="799"/>
      <c r="D33" s="805">
        <f>IF($B$15=AS_CalcoloPE!$D$2,AS_CalcoloPE!E24,AS_CalcoloPE!G24)</f>
        <v>23383.256666666664</v>
      </c>
      <c r="E33"/>
      <c r="F33"/>
      <c r="G33"/>
      <c r="H33"/>
      <c r="I33"/>
      <c r="J33" s="117"/>
      <c r="K33" s="353">
        <f>IF($B$15=AS_CalcoloPE!$D$2,HLOOKUP(K$19,GIA_ORD!G$2:G$36,34,FALSE),HLOOKUP(K$19,GIA_ORD!G$2:G$36,35,FALSE))</f>
        <v>23383.256666666664</v>
      </c>
      <c r="L33" s="353">
        <f>IF($B$15=AS_CalcoloPE!$D$2,HLOOKUP(L$19,GIA_ORD!H$2:H$36,34,FALSE),HLOOKUP(L$19,GIA_ORD!H$2:H$36,35,FALSE))</f>
        <v>0</v>
      </c>
      <c r="M33" s="353">
        <f>IF($B$15=AS_CalcoloPE!$D$2,HLOOKUP(M$19,GIA_ORD!I$2:I$36,34,FALSE),HLOOKUP(M$19,GIA_ORD!I$2:I$36,35,FALSE))</f>
        <v>0</v>
      </c>
      <c r="N33" s="353">
        <f>IF($B$15=AS_CalcoloPE!$D$2,HLOOKUP(N$19,GIA_ORD!J$2:J$36,34,FALSE),HLOOKUP(N$19,GIA_ORD!J$2:J$36,35,FALSE))</f>
        <v>0</v>
      </c>
      <c r="O33" s="353">
        <f>IF($B$15=AS_CalcoloPE!$D$2,HLOOKUP(O$19,GIA_ORD!K$2:K$36,34,FALSE),HLOOKUP(O$19,GIA_ORD!K$2:K$36,35,FALSE))</f>
        <v>0</v>
      </c>
      <c r="P33" s="353">
        <f>IF($B$15=AS_CalcoloPE!$D$2,HLOOKUP(P$19,GIA_ORD!L$2:L$36,34,FALSE),HLOOKUP(P$19,GIA_ORD!L$2:L$36,35,FALSE))</f>
        <v>0</v>
      </c>
      <c r="Q33" s="353">
        <f>IF($B$15=AS_CalcoloPE!$D$2,HLOOKUP(Q$19,GIA_ORD!M$2:M$36,34,FALSE),HLOOKUP(Q$19,GIA_ORD!M$2:M$36,35,FALSE))</f>
        <v>0</v>
      </c>
      <c r="R33" s="353">
        <f>IF($B$15=AS_CalcoloPE!$D$2,HLOOKUP(R$19,GIA_ORD!N$2:N$36,34,FALSE),HLOOKUP(R$19,GIA_ORD!N$2:N$36,35,FALSE))</f>
        <v>0</v>
      </c>
      <c r="S33" s="353">
        <f>IF($B$15=AS_CalcoloPE!$D$2,HLOOKUP(S$19,GIA_ORD!O$2:O$36,34,FALSE),HLOOKUP(S$19,GIA_ORD!O$2:O$36,35,FALSE))</f>
        <v>0</v>
      </c>
      <c r="T33" s="353">
        <f>IF($B$15=AS_CalcoloPE!$D$2,HLOOKUP(T$19,GIA_ORD!P$2:P$36,34,FALSE),HLOOKUP(T$19,GIA_ORD!P$2:P$36,35,FALSE))</f>
        <v>0</v>
      </c>
      <c r="U33" s="353">
        <f>IF($B$15=AS_CalcoloPE!$D$2,HLOOKUP(U$19,GIA_ORD!Q$2:Q$36,34,FALSE),HLOOKUP(U$19,GIA_ORD!Q$2:Q$36,35,FALSE))</f>
        <v>0</v>
      </c>
      <c r="V33" s="353">
        <f>IF($B$15=AS_CalcoloPE!$D$2,HLOOKUP(V$19,GIA_ORD!R$2:R$36,34,FALSE),HLOOKUP(V$19,GIA_ORD!R$2:R$36,35,FALSE))</f>
        <v>0</v>
      </c>
      <c r="W33" s="353">
        <f>IF($B$15=AS_CalcoloPE!$D$2,HLOOKUP(W$19,GIA_ORD!S$2:S$36,34,FALSE),HLOOKUP(W$19,GIA_ORD!S$2:S$36,35,FALSE))</f>
        <v>0</v>
      </c>
      <c r="X33" s="353">
        <f>IF($B$15=AS_CalcoloPE!$D$2,HLOOKUP(X$19,GIA_ORD!T$2:T$36,34,FALSE),HLOOKUP(X$19,GIA_ORD!T$2:T$36,35,FALSE))</f>
        <v>0</v>
      </c>
      <c r="Y33" s="353">
        <f>IF($B$15=AS_CalcoloPE!$D$2,HLOOKUP(Y$19,GIA_ORD!U$2:U$36,34,FALSE),HLOOKUP(Y$19,GIA_ORD!U$2:U$36,35,FALSE))</f>
        <v>0</v>
      </c>
      <c r="Z33" s="353">
        <f>IF($B$15=AS_CalcoloPE!$D$2,HLOOKUP(Z$19,GIA_ORD!V$2:V$36,34,FALSE),HLOOKUP(Z$19,GIA_ORD!V$2:V$36,35,FALSE))</f>
        <v>0</v>
      </c>
      <c r="AA33" s="353">
        <f>IF($B$15=AS_CalcoloPE!$D$2,HLOOKUP(AA$19,GIA_ORD!W$2:W$36,34,FALSE),HLOOKUP(AA$19,GIA_ORD!W$2:W$36,35,FALSE))</f>
        <v>0</v>
      </c>
      <c r="AB33" s="353">
        <f>IF($B$15=AS_CalcoloPE!$D$2,HLOOKUP(AB$19,GIA_ORD!X$2:X$36,34,FALSE),HLOOKUP(AB$19,GIA_ORD!X$2:X$36,35,FALSE))</f>
        <v>0</v>
      </c>
      <c r="AC33" s="353">
        <f>IF($B$15=AS_CalcoloPE!$D$2,HLOOKUP(AC$19,GIA_ORD!Y$2:Y$36,34,FALSE),HLOOKUP(AC$19,GIA_ORD!Y$2:Y$36,35,FALSE))</f>
        <v>0</v>
      </c>
      <c r="AD33" s="353">
        <f>IF($B$15=AS_CalcoloPE!$D$2,HLOOKUP(AD$19,GIA_ORD!Z$2:Z$36,34,FALSE),HLOOKUP(AD$19,GIA_ORD!Z$2:Z$36,35,FALSE))</f>
        <v>0</v>
      </c>
      <c r="AF33" s="353">
        <f>HLOOKUP(AF$19,GIA_ORD!G$2:G$4,3,FALSE)</f>
        <v>46</v>
      </c>
      <c r="AG33" s="353">
        <f>HLOOKUP(AG$19,GIA_ORD!H$2:H$4,3,FALSE)</f>
        <v>0</v>
      </c>
      <c r="AH33" s="353">
        <f>HLOOKUP(AH$19,GIA_ORD!I$2:I$4,3,FALSE)</f>
        <v>0</v>
      </c>
      <c r="AI33" s="353">
        <f>HLOOKUP(AI$19,GIA_ORD!J$2:J$4,3,FALSE)</f>
        <v>0</v>
      </c>
      <c r="AJ33" s="353">
        <f>HLOOKUP(AJ$19,GIA_ORD!K$2:K$4,3,FALSE)</f>
        <v>0</v>
      </c>
      <c r="AK33" s="353">
        <f>HLOOKUP(AK$19,GIA_ORD!L$2:L$4,3,FALSE)</f>
        <v>0</v>
      </c>
      <c r="AL33" s="353">
        <f>HLOOKUP(AL$19,GIA_ORD!M$2:M$4,3,FALSE)</f>
        <v>0</v>
      </c>
      <c r="AM33" s="353">
        <f>HLOOKUP(AM$19,GIA_ORD!N$2:N$4,3,FALSE)</f>
        <v>0</v>
      </c>
      <c r="AN33" s="353">
        <f>HLOOKUP(AN$19,GIA_ORD!O$2:O$4,3,FALSE)</f>
        <v>0</v>
      </c>
      <c r="AO33" s="353">
        <f>HLOOKUP(AO$19,GIA_ORD!P$2:P$4,3,FALSE)</f>
        <v>0</v>
      </c>
      <c r="AP33" s="353">
        <f>HLOOKUP(AP$19,GIA_ORD!Q$2:Q$4,3,FALSE)</f>
        <v>0</v>
      </c>
      <c r="AQ33" s="353">
        <f>HLOOKUP(AQ$19,GIA_ORD!R$2:R$4,3,FALSE)</f>
        <v>0</v>
      </c>
      <c r="AR33" s="353">
        <f>HLOOKUP(AR$19,GIA_ORD!S$2:S$4,3,FALSE)</f>
        <v>0</v>
      </c>
      <c r="AS33" s="353">
        <f>HLOOKUP(AS$19,GIA_ORD!T$2:T$4,3,FALSE)</f>
        <v>0</v>
      </c>
      <c r="AT33" s="353">
        <f>HLOOKUP(AT$19,GIA_ORD!U$2:U$4,3,FALSE)</f>
        <v>0</v>
      </c>
      <c r="AU33" s="353">
        <f>HLOOKUP(AU$19,GIA_ORD!V$2:V$4,3,FALSE)</f>
        <v>0</v>
      </c>
      <c r="AV33" s="353">
        <f>HLOOKUP(AV$19,GIA_ORD!W$2:W$4,3,FALSE)</f>
        <v>0</v>
      </c>
      <c r="AW33" s="353">
        <f>HLOOKUP(AW$19,GIA_ORD!X$2:X$4,3,FALSE)</f>
        <v>0</v>
      </c>
      <c r="AX33" s="353">
        <f>HLOOKUP(AX$19,GIA_ORD!Y$2:Y$4,3,FALSE)</f>
        <v>0</v>
      </c>
      <c r="AY33" s="353">
        <f>HLOOKUP(AY$19,GIA_ORD!Z$2:Z$4,3,FALSE)</f>
        <v>0</v>
      </c>
    </row>
    <row r="34" spans="2:51" x14ac:dyDescent="0.25">
      <c r="B34" s="796" t="s">
        <v>127</v>
      </c>
      <c r="C34" s="44"/>
      <c r="D34" s="801">
        <f>SUM(D35:D38)</f>
        <v>1158727.9006666667</v>
      </c>
      <c r="E34"/>
      <c r="F34"/>
      <c r="G34"/>
      <c r="H34"/>
      <c r="I34"/>
      <c r="J34" s="117"/>
      <c r="K34" s="364"/>
      <c r="L34" s="364"/>
      <c r="M34" s="364"/>
      <c r="N34" s="364"/>
      <c r="O34" s="364"/>
      <c r="P34" s="364"/>
      <c r="Q34" s="364"/>
      <c r="R34" s="364"/>
      <c r="S34" s="364"/>
      <c r="T34" s="364"/>
      <c r="U34" s="364"/>
      <c r="V34" s="364"/>
      <c r="W34" s="364"/>
      <c r="X34" s="364"/>
      <c r="Y34" s="364"/>
      <c r="Z34" s="364"/>
      <c r="AA34" s="364"/>
      <c r="AB34" s="364"/>
      <c r="AC34" s="364"/>
      <c r="AD34" s="364"/>
      <c r="AF34" s="364"/>
      <c r="AG34" s="364"/>
      <c r="AH34" s="364"/>
      <c r="AI34" s="364"/>
      <c r="AJ34" s="364"/>
      <c r="AK34" s="364"/>
      <c r="AL34" s="364"/>
      <c r="AM34" s="364"/>
      <c r="AN34" s="364"/>
      <c r="AO34" s="364"/>
      <c r="AP34" s="364"/>
      <c r="AQ34" s="364"/>
      <c r="AR34" s="364"/>
      <c r="AS34" s="364"/>
      <c r="AT34" s="364"/>
      <c r="AU34" s="364"/>
      <c r="AV34" s="364"/>
      <c r="AW34" s="364"/>
      <c r="AX34" s="364"/>
      <c r="AY34" s="364"/>
    </row>
    <row r="35" spans="2:51" x14ac:dyDescent="0.25">
      <c r="B35" s="791" t="s">
        <v>6</v>
      </c>
      <c r="C35" s="799"/>
      <c r="D35" s="802">
        <f>IF($B$15=AS_CalcoloPE!$D$2,AS_CalcoloPE!E26,AS_CalcoloPE!G26)</f>
        <v>0</v>
      </c>
      <c r="E35"/>
      <c r="F35"/>
      <c r="G35"/>
      <c r="H35"/>
      <c r="I35"/>
      <c r="J35" s="117"/>
      <c r="K35" s="349">
        <f>IF($B$15=AS_CalcoloPE!$D$2,HLOOKUP(K$19,REC!E$2:E$21,19,FALSE),HLOOKUP(K$19,REC!E$2:E$21,20,FALSE))</f>
        <v>0</v>
      </c>
      <c r="L35" s="349">
        <f>IF($B$15=AS_CalcoloPE!$D$2,HLOOKUP(L$19,REC!F$2:F$21,19,FALSE),HLOOKUP(L$19,REC!F$2:F$21,20,FALSE))</f>
        <v>0</v>
      </c>
      <c r="M35" s="349">
        <f>IF($B$15=AS_CalcoloPE!$D$2,HLOOKUP(M$19,REC!G$2:G$21,19,FALSE),HLOOKUP(M$19,REC!G$2:G$21,20,FALSE))</f>
        <v>0</v>
      </c>
      <c r="N35" s="349">
        <f>IF($B$15=AS_CalcoloPE!$D$2,HLOOKUP(N$19,REC!H$2:H$21,19,FALSE),HLOOKUP(N$19,REC!H$2:H$21,20,FALSE))</f>
        <v>0</v>
      </c>
      <c r="O35" s="349">
        <f>IF($B$15=AS_CalcoloPE!$D$2,HLOOKUP(O$19,REC!I$2:I$21,19,FALSE),HLOOKUP(O$19,REC!I$2:I$21,20,FALSE))</f>
        <v>0</v>
      </c>
      <c r="P35" s="349">
        <f>IF($B$15=AS_CalcoloPE!$D$2,HLOOKUP(P$19,REC!J$2:J$21,19,FALSE),HLOOKUP(P$19,REC!J$2:J$21,20,FALSE))</f>
        <v>0</v>
      </c>
      <c r="Q35" s="349">
        <f>IF($B$15=AS_CalcoloPE!$D$2,HLOOKUP(Q$19,REC!K$2:K$21,19,FALSE),HLOOKUP(Q$19,REC!K$2:K$21,20,FALSE))</f>
        <v>0</v>
      </c>
      <c r="R35" s="349">
        <f>IF($B$15=AS_CalcoloPE!$D$2,HLOOKUP(R$19,REC!L$2:L$21,19,FALSE),HLOOKUP(R$19,REC!L$2:L$21,20,FALSE))</f>
        <v>0</v>
      </c>
      <c r="S35" s="349">
        <f>IF($B$15=AS_CalcoloPE!$D$2,HLOOKUP(S$19,REC!M$2:M$21,19,FALSE),HLOOKUP(S$19,REC!M$2:M$21,20,FALSE))</f>
        <v>0</v>
      </c>
      <c r="T35" s="349">
        <f>IF($B$15=AS_CalcoloPE!$D$2,HLOOKUP(T$19,REC!N$2:N$21,19,FALSE),HLOOKUP(T$19,REC!N$2:N$21,20,FALSE))</f>
        <v>0</v>
      </c>
      <c r="U35" s="349">
        <f>IF($B$15=AS_CalcoloPE!$D$2,HLOOKUP(U$19,REC!O$2:O$21,19,FALSE),HLOOKUP(U$19,REC!O$2:O$21,20,FALSE))</f>
        <v>0</v>
      </c>
      <c r="V35" s="349">
        <f>IF($B$15=AS_CalcoloPE!$D$2,HLOOKUP(V$19,REC!P$2:P$21,19,FALSE),HLOOKUP(V$19,REC!P$2:P$21,20,FALSE))</f>
        <v>0</v>
      </c>
      <c r="W35" s="349">
        <f>IF($B$15=AS_CalcoloPE!$D$2,HLOOKUP(W$19,REC!Q$2:Q$21,19,FALSE),HLOOKUP(W$19,REC!Q$2:Q$21,20,FALSE))</f>
        <v>0</v>
      </c>
      <c r="X35" s="349">
        <f>IF($B$15=AS_CalcoloPE!$D$2,HLOOKUP(X$19,REC!R$2:R$21,19,FALSE),HLOOKUP(X$19,REC!R$2:R$21,20,FALSE))</f>
        <v>0</v>
      </c>
      <c r="Y35" s="349">
        <f>IF($B$15=AS_CalcoloPE!$D$2,HLOOKUP(Y$19,REC!S$2:S$21,19,FALSE),HLOOKUP(Y$19,REC!S$2:S$21,20,FALSE))</f>
        <v>0</v>
      </c>
      <c r="Z35" s="349">
        <f>IF($B$15=AS_CalcoloPE!$D$2,HLOOKUP(Z$19,REC!T$2:T$21,19,FALSE),HLOOKUP(Z$19,REC!T$2:T$21,20,FALSE))</f>
        <v>0</v>
      </c>
      <c r="AA35" s="349">
        <f>IF($B$15=AS_CalcoloPE!$D$2,HLOOKUP(AA$19,REC!U$2:U$21,19,FALSE),HLOOKUP(AA$19,REC!U$2:U$21,20,FALSE))</f>
        <v>0</v>
      </c>
      <c r="AB35" s="349">
        <f>IF($B$15=AS_CalcoloPE!$D$2,HLOOKUP(AB$19,REC!V$2:V$21,19,FALSE),HLOOKUP(AB$19,REC!V$2:V$21,20,FALSE))</f>
        <v>0</v>
      </c>
      <c r="AC35" s="349">
        <f>IF($B$15=AS_CalcoloPE!$D$2,HLOOKUP(AC$19,REC!W$2:W$21,19,FALSE),HLOOKUP(AC$19,REC!W$2:W$21,20,FALSE))</f>
        <v>0</v>
      </c>
      <c r="AD35" s="349">
        <f>IF($B$15=AS_CalcoloPE!$D$2,HLOOKUP(AD$19,REC!X$2:X$21,19,FALSE),HLOOKUP(AD$19,REC!X$2:X$21,20,FALSE))</f>
        <v>0</v>
      </c>
      <c r="AF35" s="349">
        <f>HLOOKUP(AF$19,REC!E$2:E$4,3,FALSE)</f>
        <v>0</v>
      </c>
      <c r="AG35" s="349">
        <f>HLOOKUP(AG$19,REC!F$2:F$4,3,FALSE)</f>
        <v>0</v>
      </c>
      <c r="AH35" s="349">
        <f>HLOOKUP(AH$19,REC!G$2:G$4,3,FALSE)</f>
        <v>0</v>
      </c>
      <c r="AI35" s="349">
        <f>HLOOKUP(AI$19,REC!H$2:H$4,3,FALSE)</f>
        <v>0</v>
      </c>
      <c r="AJ35" s="349">
        <f>HLOOKUP(AJ$19,REC!I$2:I$4,3,FALSE)</f>
        <v>0</v>
      </c>
      <c r="AK35" s="349">
        <f>HLOOKUP(AK$19,REC!J$2:J$4,3,FALSE)</f>
        <v>0</v>
      </c>
      <c r="AL35" s="349">
        <f>HLOOKUP(AL$19,REC!K$2:K$4,3,FALSE)</f>
        <v>0</v>
      </c>
      <c r="AM35" s="349">
        <f>HLOOKUP(AM$19,REC!L$2:L$4,3,FALSE)</f>
        <v>0</v>
      </c>
      <c r="AN35" s="349">
        <f>HLOOKUP(AN$19,REC!M$2:M$4,3,FALSE)</f>
        <v>0</v>
      </c>
      <c r="AO35" s="349">
        <f>HLOOKUP(AO$19,REC!N$2:N$4,3,FALSE)</f>
        <v>0</v>
      </c>
      <c r="AP35" s="349">
        <f>HLOOKUP(AP$19,REC!O$2:O$4,3,FALSE)</f>
        <v>0</v>
      </c>
      <c r="AQ35" s="349">
        <f>HLOOKUP(AQ$19,REC!P$2:P$4,3,FALSE)</f>
        <v>0</v>
      </c>
      <c r="AR35" s="349">
        <f>HLOOKUP(AR$19,REC!Q$2:Q$4,3,FALSE)</f>
        <v>0</v>
      </c>
      <c r="AS35" s="349">
        <f>HLOOKUP(AS$19,REC!R$2:R$4,3,FALSE)</f>
        <v>0</v>
      </c>
      <c r="AT35" s="349">
        <f>HLOOKUP(AT$19,REC!S$2:S$4,3,FALSE)</f>
        <v>0</v>
      </c>
      <c r="AU35" s="349">
        <f>HLOOKUP(AU$19,REC!T$2:T$4,3,FALSE)</f>
        <v>0</v>
      </c>
      <c r="AV35" s="349">
        <f>HLOOKUP(AV$19,REC!U$2:U$4,3,FALSE)</f>
        <v>0</v>
      </c>
      <c r="AW35" s="349">
        <f>HLOOKUP(AW$19,REC!V$2:V$4,3,FALSE)</f>
        <v>0</v>
      </c>
      <c r="AX35" s="349">
        <f>HLOOKUP(AX$19,REC!W$2:W$4,3,FALSE)</f>
        <v>0</v>
      </c>
      <c r="AY35" s="349">
        <f>HLOOKUP(AY$19,REC!X$2:X$4,3,FALSE)</f>
        <v>0</v>
      </c>
    </row>
    <row r="36" spans="2:51" x14ac:dyDescent="0.25">
      <c r="B36" s="792" t="s">
        <v>1</v>
      </c>
      <c r="C36" s="799"/>
      <c r="D36" s="803">
        <f>IF($B$15=AS_CalcoloPE!$D$2,AS_CalcoloPE!E27,AS_CalcoloPE!G27)</f>
        <v>1060471.824</v>
      </c>
      <c r="E36"/>
      <c r="F36"/>
      <c r="G36"/>
      <c r="H36"/>
      <c r="I36"/>
      <c r="J36" s="117"/>
      <c r="K36" s="355">
        <f>IF($B$15=AS_CalcoloPE!$D$2,HLOOKUP(K$19,FAC!E$2:E$21,19,FALSE),HLOOKUP(K$19,FAC!E$2:E$21,20,FALSE))</f>
        <v>1060471.824</v>
      </c>
      <c r="L36" s="355">
        <f>IF($B$15=AS_CalcoloPE!$D$2,HLOOKUP(L$19,FAC!F$2:F$21,19,FALSE),HLOOKUP(L$19,FAC!F$2:F$21,20,FALSE))</f>
        <v>0</v>
      </c>
      <c r="M36" s="355">
        <f>IF($B$15=AS_CalcoloPE!$D$2,HLOOKUP(M$19,FAC!G$2:G$21,19,FALSE),HLOOKUP(M$19,FAC!G$2:G$21,20,FALSE))</f>
        <v>0</v>
      </c>
      <c r="N36" s="355">
        <f>IF($B$15=AS_CalcoloPE!$D$2,HLOOKUP(N$19,FAC!H$2:H$21,19,FALSE),HLOOKUP(N$19,FAC!H$2:H$21,20,FALSE))</f>
        <v>0</v>
      </c>
      <c r="O36" s="355">
        <f>IF($B$15=AS_CalcoloPE!$D$2,HLOOKUP(O$19,FAC!I$2:I$21,19,FALSE),HLOOKUP(O$19,FAC!I$2:I$21,20,FALSE))</f>
        <v>0</v>
      </c>
      <c r="P36" s="355">
        <f>IF($B$15=AS_CalcoloPE!$D$2,HLOOKUP(P$19,FAC!J$2:J$21,19,FALSE),HLOOKUP(P$19,FAC!J$2:J$21,20,FALSE))</f>
        <v>0</v>
      </c>
      <c r="Q36" s="355">
        <f>IF($B$15=AS_CalcoloPE!$D$2,HLOOKUP(Q$19,FAC!K$2:K$21,19,FALSE),HLOOKUP(Q$19,FAC!K$2:K$21,20,FALSE))</f>
        <v>0</v>
      </c>
      <c r="R36" s="355">
        <f>IF($B$15=AS_CalcoloPE!$D$2,HLOOKUP(R$19,FAC!L$2:L$21,19,FALSE),HLOOKUP(R$19,FAC!L$2:L$21,20,FALSE))</f>
        <v>0</v>
      </c>
      <c r="S36" s="355">
        <f>IF($B$15=AS_CalcoloPE!$D$2,HLOOKUP(S$19,FAC!M$2:M$21,19,FALSE),HLOOKUP(S$19,FAC!M$2:M$21,20,FALSE))</f>
        <v>0</v>
      </c>
      <c r="T36" s="355">
        <f>IF($B$15=AS_CalcoloPE!$D$2,HLOOKUP(T$19,FAC!N$2:N$21,19,FALSE),HLOOKUP(T$19,FAC!N$2:N$21,20,FALSE))</f>
        <v>0</v>
      </c>
      <c r="U36" s="355">
        <f>IF($B$15=AS_CalcoloPE!$D$2,HLOOKUP(U$19,FAC!O$2:O$21,19,FALSE),HLOOKUP(U$19,FAC!O$2:O$21,20,FALSE))</f>
        <v>0</v>
      </c>
      <c r="V36" s="355">
        <f>IF($B$15=AS_CalcoloPE!$D$2,HLOOKUP(V$19,FAC!P$2:P$21,19,FALSE),HLOOKUP(V$19,FAC!P$2:P$21,20,FALSE))</f>
        <v>0</v>
      </c>
      <c r="W36" s="355">
        <f>IF($B$15=AS_CalcoloPE!$D$2,HLOOKUP(W$19,FAC!Q$2:Q$21,19,FALSE),HLOOKUP(W$19,FAC!Q$2:Q$21,20,FALSE))</f>
        <v>0</v>
      </c>
      <c r="X36" s="355">
        <f>IF($B$15=AS_CalcoloPE!$D$2,HLOOKUP(X$19,FAC!R$2:R$21,19,FALSE),HLOOKUP(X$19,FAC!R$2:R$21,20,FALSE))</f>
        <v>0</v>
      </c>
      <c r="Y36" s="355">
        <f>IF($B$15=AS_CalcoloPE!$D$2,HLOOKUP(Y$19,FAC!S$2:S$21,19,FALSE),HLOOKUP(Y$19,FAC!S$2:S$21,20,FALSE))</f>
        <v>0</v>
      </c>
      <c r="Z36" s="355">
        <f>IF($B$15=AS_CalcoloPE!$D$2,HLOOKUP(Z$19,FAC!T$2:T$21,19,FALSE),HLOOKUP(Z$19,FAC!T$2:T$21,20,FALSE))</f>
        <v>0</v>
      </c>
      <c r="AA36" s="355">
        <f>IF($B$15=AS_CalcoloPE!$D$2,HLOOKUP(AA$19,FAC!U$2:U$21,19,FALSE),HLOOKUP(AA$19,FAC!U$2:U$21,20,FALSE))</f>
        <v>0</v>
      </c>
      <c r="AB36" s="355">
        <f>IF($B$15=AS_CalcoloPE!$D$2,HLOOKUP(AB$19,FAC!V$2:V$21,19,FALSE),HLOOKUP(AB$19,FAC!V$2:V$21,20,FALSE))</f>
        <v>0</v>
      </c>
      <c r="AC36" s="355">
        <f>IF($B$15=AS_CalcoloPE!$D$2,HLOOKUP(AC$19,FAC!W$2:W$21,19,FALSE),HLOOKUP(AC$19,FAC!W$2:W$21,20,FALSE))</f>
        <v>0</v>
      </c>
      <c r="AD36" s="355">
        <f>IF($B$15=AS_CalcoloPE!$D$2,HLOOKUP(AD$19,FAC!X$2:X$21,19,FALSE),HLOOKUP(AD$19,FAC!X$2:X$21,20,FALSE))</f>
        <v>0</v>
      </c>
      <c r="AF36" s="355">
        <f>HLOOKUP(AF$19,FAC!E$2:E$4,3,FALSE)</f>
        <v>48</v>
      </c>
      <c r="AG36" s="355">
        <f>HLOOKUP(AG$19,FAC!F$2:F$4,3,FALSE)</f>
        <v>0</v>
      </c>
      <c r="AH36" s="355">
        <f>HLOOKUP(AH$19,FAC!G$2:G$4,3,FALSE)</f>
        <v>0</v>
      </c>
      <c r="AI36" s="355">
        <f>HLOOKUP(AI$19,FAC!H$2:H$4,3,FALSE)</f>
        <v>0</v>
      </c>
      <c r="AJ36" s="355">
        <f>HLOOKUP(AJ$19,FAC!I$2:I$4,3,FALSE)</f>
        <v>0</v>
      </c>
      <c r="AK36" s="355">
        <f>HLOOKUP(AK$19,FAC!J$2:J$4,3,FALSE)</f>
        <v>0</v>
      </c>
      <c r="AL36" s="355">
        <f>HLOOKUP(AL$19,FAC!K$2:K$4,3,FALSE)</f>
        <v>0</v>
      </c>
      <c r="AM36" s="355">
        <f>HLOOKUP(AM$19,FAC!L$2:L$4,3,FALSE)</f>
        <v>0</v>
      </c>
      <c r="AN36" s="355">
        <f>HLOOKUP(AN$19,FAC!M$2:M$4,3,FALSE)</f>
        <v>0</v>
      </c>
      <c r="AO36" s="355">
        <f>HLOOKUP(AO$19,FAC!N$2:N$4,3,FALSE)</f>
        <v>0</v>
      </c>
      <c r="AP36" s="355">
        <f>HLOOKUP(AP$19,FAC!O$2:O$4,3,FALSE)</f>
        <v>0</v>
      </c>
      <c r="AQ36" s="355">
        <f>HLOOKUP(AQ$19,FAC!P$2:P$4,3,FALSE)</f>
        <v>0</v>
      </c>
      <c r="AR36" s="355">
        <f>HLOOKUP(AR$19,FAC!Q$2:Q$4,3,FALSE)</f>
        <v>0</v>
      </c>
      <c r="AS36" s="355">
        <f>HLOOKUP(AS$19,FAC!R$2:R$4,3,FALSE)</f>
        <v>0</v>
      </c>
      <c r="AT36" s="355">
        <f>HLOOKUP(AT$19,FAC!S$2:S$4,3,FALSE)</f>
        <v>0</v>
      </c>
      <c r="AU36" s="355">
        <f>HLOOKUP(AU$19,FAC!T$2:T$4,3,FALSE)</f>
        <v>0</v>
      </c>
      <c r="AV36" s="355">
        <f>HLOOKUP(AV$19,FAC!U$2:U$4,3,FALSE)</f>
        <v>0</v>
      </c>
      <c r="AW36" s="355">
        <f>HLOOKUP(AW$19,FAC!V$2:V$4,3,FALSE)</f>
        <v>0</v>
      </c>
      <c r="AX36" s="355">
        <f>HLOOKUP(AX$19,FAC!W$2:W$4,3,FALSE)</f>
        <v>0</v>
      </c>
      <c r="AY36" s="355">
        <f>HLOOKUP(AY$19,FAC!X$2:X$4,3,FALSE)</f>
        <v>0</v>
      </c>
    </row>
    <row r="37" spans="2:51" x14ac:dyDescent="0.25">
      <c r="B37" s="793" t="s">
        <v>0</v>
      </c>
      <c r="C37" s="799"/>
      <c r="D37" s="806">
        <f>IF($B$15=AS_CalcoloPE!$D$2,AS_CalcoloPE!E28,AS_CalcoloPE!G28)</f>
        <v>0</v>
      </c>
      <c r="E37"/>
      <c r="F37"/>
      <c r="G37"/>
      <c r="H37"/>
      <c r="I37"/>
      <c r="J37" s="117"/>
      <c r="K37" s="351">
        <f>IF($B$15=AS_CalcoloPE!$D$2,HLOOKUP(K$19,TRA!E$2:E$25,23,FALSE),HLOOKUP(K$19,TRA!E$2:E$25,24,FALSE))</f>
        <v>0</v>
      </c>
      <c r="L37" s="351">
        <f>IF($B$15=AS_CalcoloPE!$D$2,HLOOKUP(L$19,TRA!F$2:F$25,23,FALSE),HLOOKUP(L$19,TRA!F$2:F$25,24,FALSE))</f>
        <v>0</v>
      </c>
      <c r="M37" s="351">
        <f>IF($B$15=AS_CalcoloPE!$D$2,HLOOKUP(M$19,TRA!G$2:G$25,23,FALSE),HLOOKUP(M$19,TRA!G$2:G$25,24,FALSE))</f>
        <v>0</v>
      </c>
      <c r="N37" s="351">
        <f>IF($B$15=AS_CalcoloPE!$D$2,HLOOKUP(N$19,TRA!H$2:H$25,23,FALSE),HLOOKUP(N$19,TRA!H$2:H$25,24,FALSE))</f>
        <v>0</v>
      </c>
      <c r="O37" s="351">
        <f>IF($B$15=AS_CalcoloPE!$D$2,HLOOKUP(O$19,TRA!I$2:I$25,23,FALSE),HLOOKUP(O$19,TRA!I$2:I$25,24,FALSE))</f>
        <v>0</v>
      </c>
      <c r="P37" s="351">
        <f>IF($B$15=AS_CalcoloPE!$D$2,HLOOKUP(P$19,TRA!J$2:J$25,23,FALSE),HLOOKUP(P$19,TRA!J$2:J$25,24,FALSE))</f>
        <v>0</v>
      </c>
      <c r="Q37" s="351">
        <f>IF($B$15=AS_CalcoloPE!$D$2,HLOOKUP(Q$19,TRA!K$2:K$25,23,FALSE),HLOOKUP(Q$19,TRA!K$2:K$25,24,FALSE))</f>
        <v>0</v>
      </c>
      <c r="R37" s="351">
        <f>IF($B$15=AS_CalcoloPE!$D$2,HLOOKUP(R$19,TRA!L$2:L$25,23,FALSE),HLOOKUP(R$19,TRA!L$2:L$25,24,FALSE))</f>
        <v>0</v>
      </c>
      <c r="S37" s="351">
        <f>IF($B$15=AS_CalcoloPE!$D$2,HLOOKUP(S$19,TRA!M$2:M$25,23,FALSE),HLOOKUP(S$19,TRA!M$2:M$25,24,FALSE))</f>
        <v>0</v>
      </c>
      <c r="T37" s="351">
        <f>IF($B$15=AS_CalcoloPE!$D$2,HLOOKUP(T$19,TRA!N$2:N$25,23,FALSE),HLOOKUP(T$19,TRA!N$2:N$25,24,FALSE))</f>
        <v>0</v>
      </c>
      <c r="U37" s="351">
        <f>IF($B$15=AS_CalcoloPE!$D$2,HLOOKUP(U$19,TRA!O$2:O$25,23,FALSE),HLOOKUP(U$19,TRA!O$2:O$25,24,FALSE))</f>
        <v>0</v>
      </c>
      <c r="V37" s="351">
        <f>IF($B$15=AS_CalcoloPE!$D$2,HLOOKUP(V$19,TRA!P$2:P$25,23,FALSE),HLOOKUP(V$19,TRA!P$2:P$25,24,FALSE))</f>
        <v>0</v>
      </c>
      <c r="W37" s="351">
        <f>IF($B$15=AS_CalcoloPE!$D$2,HLOOKUP(W$19,TRA!Q$2:Q$25,23,FALSE),HLOOKUP(W$19,TRA!Q$2:Q$25,24,FALSE))</f>
        <v>0</v>
      </c>
      <c r="X37" s="351">
        <f>IF($B$15=AS_CalcoloPE!$D$2,HLOOKUP(X$19,TRA!R$2:R$25,23,FALSE),HLOOKUP(X$19,TRA!R$2:R$25,24,FALSE))</f>
        <v>0</v>
      </c>
      <c r="Y37" s="351">
        <f>IF($B$15=AS_CalcoloPE!$D$2,HLOOKUP(Y$19,TRA!S$2:S$25,23,FALSE),HLOOKUP(Y$19,TRA!S$2:S$25,24,FALSE))</f>
        <v>0</v>
      </c>
      <c r="Z37" s="351">
        <f>IF($B$15=AS_CalcoloPE!$D$2,HLOOKUP(Z$19,TRA!T$2:T$25,23,FALSE),HLOOKUP(Z$19,TRA!T$2:T$25,24,FALSE))</f>
        <v>0</v>
      </c>
      <c r="AA37" s="351">
        <f>IF($B$15=AS_CalcoloPE!$D$2,HLOOKUP(AA$19,TRA!U$2:U$25,23,FALSE),HLOOKUP(AA$19,TRA!U$2:U$25,24,FALSE))</f>
        <v>0</v>
      </c>
      <c r="AB37" s="351">
        <f>IF($B$15=AS_CalcoloPE!$D$2,HLOOKUP(AB$19,TRA!V$2:V$25,23,FALSE),HLOOKUP(AB$19,TRA!V$2:V$25,24,FALSE))</f>
        <v>0</v>
      </c>
      <c r="AC37" s="351">
        <f>IF($B$15=AS_CalcoloPE!$D$2,HLOOKUP(AC$19,TRA!W$2:W$25,23,FALSE),HLOOKUP(AC$19,TRA!W$2:W$25,24,FALSE))</f>
        <v>0</v>
      </c>
      <c r="AD37" s="351">
        <f>IF($B$15=AS_CalcoloPE!$D$2,HLOOKUP(AD$19,TRA!X$2:X$25,23,FALSE),HLOOKUP(AD$19,TRA!X$2:X$25,24,FALSE))</f>
        <v>0</v>
      </c>
      <c r="AF37" s="351">
        <f>HLOOKUP(AF$19,TRA!E$2:E$4,3,FALSE)</f>
        <v>0</v>
      </c>
      <c r="AG37" s="351">
        <f>HLOOKUP(AG$19,TRA!F$2:F$4,3,FALSE)</f>
        <v>0</v>
      </c>
      <c r="AH37" s="351">
        <f>HLOOKUP(AH$19,TRA!G$2:G$4,3,FALSE)</f>
        <v>0</v>
      </c>
      <c r="AI37" s="351">
        <f>HLOOKUP(AI$19,TRA!H$2:H$4,3,FALSE)</f>
        <v>0</v>
      </c>
      <c r="AJ37" s="351">
        <f>HLOOKUP(AJ$19,TRA!I$2:I$4,3,FALSE)</f>
        <v>0</v>
      </c>
      <c r="AK37" s="351">
        <f>HLOOKUP(AK$19,TRA!J$2:J$4,3,FALSE)</f>
        <v>0</v>
      </c>
      <c r="AL37" s="351">
        <f>HLOOKUP(AL$19,TRA!K$2:K$4,3,FALSE)</f>
        <v>0</v>
      </c>
      <c r="AM37" s="351">
        <f>HLOOKUP(AM$19,TRA!L$2:L$4,3,FALSE)</f>
        <v>0</v>
      </c>
      <c r="AN37" s="351">
        <f>HLOOKUP(AN$19,TRA!M$2:M$4,3,FALSE)</f>
        <v>0</v>
      </c>
      <c r="AO37" s="351">
        <f>HLOOKUP(AO$19,TRA!N$2:N$4,3,FALSE)</f>
        <v>0</v>
      </c>
      <c r="AP37" s="351">
        <f>HLOOKUP(AP$19,TRA!O$2:O$4,3,FALSE)</f>
        <v>0</v>
      </c>
      <c r="AQ37" s="351">
        <f>HLOOKUP(AQ$19,TRA!P$2:P$4,3,FALSE)</f>
        <v>0</v>
      </c>
      <c r="AR37" s="351">
        <f>HLOOKUP(AR$19,TRA!Q$2:Q$4,3,FALSE)</f>
        <v>0</v>
      </c>
      <c r="AS37" s="351">
        <f>HLOOKUP(AS$19,TRA!R$2:R$4,3,FALSE)</f>
        <v>0</v>
      </c>
      <c r="AT37" s="351">
        <f>HLOOKUP(AT$19,TRA!S$2:S$4,3,FALSE)</f>
        <v>0</v>
      </c>
      <c r="AU37" s="351">
        <f>HLOOKUP(AU$19,TRA!T$2:T$4,3,FALSE)</f>
        <v>0</v>
      </c>
      <c r="AV37" s="351">
        <f>HLOOKUP(AV$19,TRA!U$2:U$4,3,FALSE)</f>
        <v>0</v>
      </c>
      <c r="AW37" s="351">
        <f>HLOOKUP(AW$19,TRA!V$2:V$4,3,FALSE)</f>
        <v>0</v>
      </c>
      <c r="AX37" s="351">
        <f>HLOOKUP(AX$19,TRA!W$2:W$4,3,FALSE)</f>
        <v>0</v>
      </c>
      <c r="AY37" s="351">
        <f>HLOOKUP(AY$19,TRA!X$2:X$4,3,FALSE)</f>
        <v>0</v>
      </c>
    </row>
    <row r="38" spans="2:51" ht="15.75" thickBot="1" x14ac:dyDescent="0.3">
      <c r="B38" s="797" t="s">
        <v>121</v>
      </c>
      <c r="C38" s="799"/>
      <c r="D38" s="807">
        <f>IF($B$15=AS_CalcoloPE!$D$2,AS_CalcoloPE!E29,AS_CalcoloPE!G29)</f>
        <v>98256.07666666666</v>
      </c>
      <c r="E38"/>
      <c r="F38"/>
      <c r="G38"/>
      <c r="H38"/>
      <c r="I38"/>
      <c r="J38" s="117"/>
      <c r="K38" s="361">
        <f>IF($B$15=AS_CalcoloPE!$D$2,HLOOKUP(K$19,EDI!G$2:G$11,9,FALSE),HLOOKUP(K$19,EDI!G$2:G$11,10,FALSE))</f>
        <v>98256.07666666666</v>
      </c>
      <c r="L38" s="361">
        <f>IF($B$15=AS_CalcoloPE!$D$2,HLOOKUP(L$19,EDI!H$2:H$11,9,FALSE),HLOOKUP(L$19,EDI!H$2:H$11,10,FALSE))</f>
        <v>0</v>
      </c>
      <c r="M38" s="361">
        <f>IF($B$15=AS_CalcoloPE!$D$2,HLOOKUP(M$19,EDI!I$2:I$11,9,FALSE),HLOOKUP(M$19,EDI!I$2:I$11,10,FALSE))</f>
        <v>0</v>
      </c>
      <c r="N38" s="361">
        <f>IF($B$15=AS_CalcoloPE!$D$2,HLOOKUP(N$19,EDI!J$2:J$11,9,FALSE),HLOOKUP(N$19,EDI!J$2:J$11,10,FALSE))</f>
        <v>0</v>
      </c>
      <c r="O38" s="361">
        <f>IF($B$15=AS_CalcoloPE!$D$2,HLOOKUP(O$19,EDI!K$2:K$11,9,FALSE),HLOOKUP(O$19,EDI!K$2:K$11,10,FALSE))</f>
        <v>0</v>
      </c>
      <c r="P38" s="361">
        <f>IF($B$15=AS_CalcoloPE!$D$2,HLOOKUP(P$19,EDI!L$2:L$11,9,FALSE),HLOOKUP(P$19,EDI!L$2:L$11,10,FALSE))</f>
        <v>0</v>
      </c>
      <c r="Q38" s="361">
        <f>IF($B$15=AS_CalcoloPE!$D$2,HLOOKUP(Q$19,EDI!M$2:M$11,9,FALSE),HLOOKUP(Q$19,EDI!M$2:M$11,10,FALSE))</f>
        <v>0</v>
      </c>
      <c r="R38" s="361">
        <f>IF($B$15=AS_CalcoloPE!$D$2,HLOOKUP(R$19,EDI!N$2:N$11,9,FALSE),HLOOKUP(R$19,EDI!N$2:N$11,10,FALSE))</f>
        <v>0</v>
      </c>
      <c r="S38" s="361">
        <f>IF($B$15=AS_CalcoloPE!$D$2,HLOOKUP(S$19,EDI!O$2:O$11,9,FALSE),HLOOKUP(S$19,EDI!O$2:O$11,10,FALSE))</f>
        <v>0</v>
      </c>
      <c r="T38" s="361">
        <f>IF($B$15=AS_CalcoloPE!$D$2,HLOOKUP(T$19,EDI!P$2:P$11,9,FALSE),HLOOKUP(T$19,EDI!P$2:P$11,10,FALSE))</f>
        <v>0</v>
      </c>
      <c r="U38" s="361">
        <f>IF($B$15=AS_CalcoloPE!$D$2,HLOOKUP(U$19,EDI!Q$2:Q$11,9,FALSE),HLOOKUP(U$19,EDI!Q$2:Q$11,10,FALSE))</f>
        <v>0</v>
      </c>
      <c r="V38" s="361">
        <f>IF($B$15=AS_CalcoloPE!$D$2,HLOOKUP(V$19,EDI!R$2:R$11,9,FALSE),HLOOKUP(V$19,EDI!R$2:R$11,10,FALSE))</f>
        <v>0</v>
      </c>
      <c r="W38" s="361">
        <f>IF($B$15=AS_CalcoloPE!$D$2,HLOOKUP(W$19,EDI!S$2:S$11,9,FALSE),HLOOKUP(W$19,EDI!S$2:S$11,10,FALSE))</f>
        <v>0</v>
      </c>
      <c r="X38" s="361">
        <f>IF($B$15=AS_CalcoloPE!$D$2,HLOOKUP(X$19,EDI!T$2:T$11,9,FALSE),HLOOKUP(X$19,EDI!T$2:T$11,10,FALSE))</f>
        <v>0</v>
      </c>
      <c r="Y38" s="361">
        <f>IF($B$15=AS_CalcoloPE!$D$2,HLOOKUP(Y$19,EDI!U$2:U$11,9,FALSE),HLOOKUP(Y$19,EDI!U$2:U$11,10,FALSE))</f>
        <v>0</v>
      </c>
      <c r="Z38" s="361">
        <f>IF($B$15=AS_CalcoloPE!$D$2,HLOOKUP(Z$19,EDI!V$2:V$11,9,FALSE),HLOOKUP(Z$19,EDI!V$2:V$11,10,FALSE))</f>
        <v>0</v>
      </c>
      <c r="AA38" s="361">
        <f>IF($B$15=AS_CalcoloPE!$D$2,HLOOKUP(AA$19,EDI!W$2:W$11,9,FALSE),HLOOKUP(AA$19,EDI!W$2:W$11,10,FALSE))</f>
        <v>0</v>
      </c>
      <c r="AB38" s="361">
        <f>IF($B$15=AS_CalcoloPE!$D$2,HLOOKUP(AB$19,EDI!X$2:X$11,9,FALSE),HLOOKUP(AB$19,EDI!X$2:X$11,10,FALSE))</f>
        <v>0</v>
      </c>
      <c r="AC38" s="361">
        <f>IF($B$15=AS_CalcoloPE!$D$2,HLOOKUP(AC$19,EDI!Y$2:Y$11,9,FALSE),HLOOKUP(AC$19,EDI!Y$2:Y$11,10,FALSE))</f>
        <v>0</v>
      </c>
      <c r="AD38" s="361">
        <f>IF($B$15=AS_CalcoloPE!$D$2,HLOOKUP(AD$19,EDI!Z$2:Z$11,9,FALSE),HLOOKUP(AD$19,EDI!Z$2:Z$11,10,FALSE))</f>
        <v>0</v>
      </c>
      <c r="AF38" s="361">
        <f>HLOOKUP(AF$19,EDI!G$2:G$4,3,FALSE)</f>
        <v>46</v>
      </c>
      <c r="AG38" s="361">
        <f>HLOOKUP(AG$19,EDI!H$2:H$4,3,FALSE)</f>
        <v>0</v>
      </c>
      <c r="AH38" s="361">
        <f>HLOOKUP(AH$19,EDI!I$2:I$4,3,FALSE)</f>
        <v>0</v>
      </c>
      <c r="AI38" s="361">
        <f>HLOOKUP(AI$19,EDI!J$2:J$4,3,FALSE)</f>
        <v>0</v>
      </c>
      <c r="AJ38" s="361">
        <f>HLOOKUP(AJ$19,EDI!K$2:K$4,3,FALSE)</f>
        <v>0</v>
      </c>
      <c r="AK38" s="361">
        <f>HLOOKUP(AK$19,EDI!L$2:L$4,3,FALSE)</f>
        <v>0</v>
      </c>
      <c r="AL38" s="361">
        <f>HLOOKUP(AL$19,EDI!M$2:M$4,3,FALSE)</f>
        <v>0</v>
      </c>
      <c r="AM38" s="361">
        <f>HLOOKUP(AM$19,EDI!N$2:N$4,3,FALSE)</f>
        <v>0</v>
      </c>
      <c r="AN38" s="361">
        <f>HLOOKUP(AN$19,EDI!O$2:O$4,3,FALSE)</f>
        <v>0</v>
      </c>
      <c r="AO38" s="361">
        <f>HLOOKUP(AO$19,EDI!P$2:P$4,3,FALSE)</f>
        <v>0</v>
      </c>
      <c r="AP38" s="361">
        <f>HLOOKUP(AP$19,EDI!Q$2:Q$4,3,FALSE)</f>
        <v>0</v>
      </c>
      <c r="AQ38" s="361">
        <f>HLOOKUP(AQ$19,EDI!R$2:R$4,3,FALSE)</f>
        <v>0</v>
      </c>
      <c r="AR38" s="361">
        <f>HLOOKUP(AR$19,EDI!S$2:S$4,3,FALSE)</f>
        <v>0</v>
      </c>
      <c r="AS38" s="361">
        <f>HLOOKUP(AS$19,EDI!T$2:T$4,3,FALSE)</f>
        <v>0</v>
      </c>
      <c r="AT38" s="361">
        <f>HLOOKUP(AT$19,EDI!U$2:U$4,3,FALSE)</f>
        <v>0</v>
      </c>
      <c r="AU38" s="361">
        <f>HLOOKUP(AU$19,EDI!V$2:V$4,3,FALSE)</f>
        <v>0</v>
      </c>
      <c r="AV38" s="361">
        <f>HLOOKUP(AV$19,EDI!W$2:W$4,3,FALSE)</f>
        <v>0</v>
      </c>
      <c r="AW38" s="361">
        <f>HLOOKUP(AW$19,EDI!X$2:X$4,3,FALSE)</f>
        <v>0</v>
      </c>
      <c r="AX38" s="361">
        <f>HLOOKUP(AX$19,EDI!Y$2:Y$4,3,FALSE)</f>
        <v>0</v>
      </c>
      <c r="AY38" s="361">
        <f>HLOOKUP(AY$19,EDI!Z$2:Z$4,3,FALSE)</f>
        <v>0</v>
      </c>
    </row>
    <row r="39" spans="2:51" ht="16.5" thickBot="1" x14ac:dyDescent="0.3">
      <c r="B39" s="798" t="s">
        <v>133</v>
      </c>
      <c r="C39" s="800"/>
      <c r="D39" s="808">
        <f t="shared" ref="D39" si="0">SUM(D20,D28,D34)</f>
        <v>4201152.1533333324</v>
      </c>
      <c r="E39"/>
      <c r="F39"/>
      <c r="G39"/>
      <c r="H39" s="30"/>
      <c r="I39"/>
      <c r="J39" s="557" t="s">
        <v>1268</v>
      </c>
      <c r="K39" s="556">
        <f>SUM(K21:K38)</f>
        <v>4201152.1533333333</v>
      </c>
      <c r="L39" s="556">
        <f t="shared" ref="L39:AD39" si="1">SUM(L21:L38)</f>
        <v>0</v>
      </c>
      <c r="M39" s="556">
        <f t="shared" si="1"/>
        <v>0</v>
      </c>
      <c r="N39" s="556">
        <f t="shared" si="1"/>
        <v>0</v>
      </c>
      <c r="O39" s="556">
        <f t="shared" si="1"/>
        <v>0</v>
      </c>
      <c r="P39" s="556">
        <f t="shared" si="1"/>
        <v>0</v>
      </c>
      <c r="Q39" s="556">
        <f t="shared" si="1"/>
        <v>0</v>
      </c>
      <c r="R39" s="556">
        <f t="shared" si="1"/>
        <v>0</v>
      </c>
      <c r="S39" s="556">
        <f t="shared" si="1"/>
        <v>0</v>
      </c>
      <c r="T39" s="556">
        <f t="shared" si="1"/>
        <v>0</v>
      </c>
      <c r="U39" s="556">
        <f t="shared" si="1"/>
        <v>0</v>
      </c>
      <c r="V39" s="556">
        <f t="shared" si="1"/>
        <v>0</v>
      </c>
      <c r="W39" s="556">
        <f t="shared" si="1"/>
        <v>0</v>
      </c>
      <c r="X39" s="556">
        <f t="shared" si="1"/>
        <v>0</v>
      </c>
      <c r="Y39" s="556">
        <f t="shared" si="1"/>
        <v>0</v>
      </c>
      <c r="Z39" s="556">
        <f t="shared" si="1"/>
        <v>0</v>
      </c>
      <c r="AA39" s="556">
        <f t="shared" si="1"/>
        <v>0</v>
      </c>
      <c r="AB39" s="556">
        <f t="shared" si="1"/>
        <v>0</v>
      </c>
      <c r="AC39" s="556">
        <f t="shared" si="1"/>
        <v>0</v>
      </c>
      <c r="AD39" s="556">
        <f t="shared" si="1"/>
        <v>0</v>
      </c>
      <c r="AF39" s="441"/>
      <c r="AG39" s="441"/>
      <c r="AH39" s="441"/>
      <c r="AI39" s="441"/>
      <c r="AJ39" s="441"/>
      <c r="AK39" s="441"/>
      <c r="AL39" s="441"/>
      <c r="AM39" s="441"/>
      <c r="AN39" s="441"/>
      <c r="AO39" s="441"/>
      <c r="AP39" s="441"/>
      <c r="AQ39" s="441"/>
      <c r="AR39" s="441"/>
      <c r="AS39" s="441"/>
      <c r="AT39" s="441"/>
      <c r="AU39" s="441"/>
      <c r="AV39" s="441"/>
      <c r="AW39" s="441"/>
      <c r="AX39" s="441"/>
      <c r="AY39" s="441"/>
    </row>
    <row r="40" spans="2:51" ht="14.45" customHeight="1" thickBot="1" x14ac:dyDescent="0.3">
      <c r="F40"/>
      <c r="G40"/>
      <c r="H40"/>
      <c r="I40"/>
      <c r="J40" s="263" t="s">
        <v>1266</v>
      </c>
      <c r="K40" s="263">
        <f>'Riepilogo Immobili - BA'!E27</f>
        <v>11</v>
      </c>
      <c r="L40" s="263">
        <f>'Riepilogo Immobili - BA'!F27</f>
        <v>0</v>
      </c>
      <c r="M40" s="263">
        <f>'Riepilogo Immobili - BA'!G27</f>
        <v>0</v>
      </c>
      <c r="N40" s="263">
        <f>'Riepilogo Immobili - BA'!H27</f>
        <v>0</v>
      </c>
      <c r="O40" s="263">
        <f>'Riepilogo Immobili - BA'!I27</f>
        <v>0</v>
      </c>
      <c r="P40" s="263">
        <f>'Riepilogo Immobili - BA'!J27</f>
        <v>0</v>
      </c>
      <c r="Q40" s="263">
        <f>'Riepilogo Immobili - BA'!K27</f>
        <v>0</v>
      </c>
      <c r="R40" s="263">
        <f>'Riepilogo Immobili - BA'!L27</f>
        <v>0</v>
      </c>
      <c r="S40" s="263">
        <f>'Riepilogo Immobili - BA'!M27</f>
        <v>0</v>
      </c>
      <c r="T40" s="263">
        <f>'Riepilogo Immobili - BA'!N27</f>
        <v>0</v>
      </c>
      <c r="U40" s="263">
        <f>'Riepilogo Immobili - BA'!O27</f>
        <v>0</v>
      </c>
      <c r="V40" s="263">
        <f>'Riepilogo Immobili - BA'!P27</f>
        <v>0</v>
      </c>
      <c r="W40" s="263">
        <f>'Riepilogo Immobili - BA'!Q27</f>
        <v>0</v>
      </c>
      <c r="X40" s="263">
        <f>'Riepilogo Immobili - BA'!R27</f>
        <v>0</v>
      </c>
      <c r="Y40" s="263">
        <f>'Riepilogo Immobili - BA'!S27</f>
        <v>0</v>
      </c>
      <c r="Z40" s="263">
        <f>'Riepilogo Immobili - BA'!T27</f>
        <v>0</v>
      </c>
      <c r="AA40" s="263">
        <f>'Riepilogo Immobili - BA'!U27</f>
        <v>0</v>
      </c>
      <c r="AB40" s="263">
        <f>'Riepilogo Immobili - BA'!V27</f>
        <v>0</v>
      </c>
      <c r="AC40" s="263">
        <f>'Riepilogo Immobili - BA'!W27</f>
        <v>0</v>
      </c>
      <c r="AD40" s="263">
        <f>'Riepilogo Immobili - BA'!X27</f>
        <v>0</v>
      </c>
      <c r="AF40" s="554">
        <f>COUNTIF(AF21:AF38,"=48")</f>
        <v>8</v>
      </c>
      <c r="AG40" s="554">
        <f t="shared" ref="AG40:AY40" si="2">COUNTIF(AG21:AG38,"=48")</f>
        <v>0</v>
      </c>
      <c r="AH40" s="554">
        <f t="shared" si="2"/>
        <v>0</v>
      </c>
      <c r="AI40" s="554">
        <f t="shared" si="2"/>
        <v>0</v>
      </c>
      <c r="AJ40" s="554">
        <f t="shared" si="2"/>
        <v>0</v>
      </c>
      <c r="AK40" s="554">
        <f t="shared" si="2"/>
        <v>0</v>
      </c>
      <c r="AL40" s="554">
        <f t="shared" si="2"/>
        <v>0</v>
      </c>
      <c r="AM40" s="554">
        <f t="shared" si="2"/>
        <v>0</v>
      </c>
      <c r="AN40" s="554">
        <f t="shared" si="2"/>
        <v>0</v>
      </c>
      <c r="AO40" s="554">
        <f t="shared" si="2"/>
        <v>0</v>
      </c>
      <c r="AP40" s="554">
        <f t="shared" si="2"/>
        <v>0</v>
      </c>
      <c r="AQ40" s="554">
        <f t="shared" si="2"/>
        <v>0</v>
      </c>
      <c r="AR40" s="554">
        <f t="shared" si="2"/>
        <v>0</v>
      </c>
      <c r="AS40" s="554">
        <f t="shared" si="2"/>
        <v>0</v>
      </c>
      <c r="AT40" s="554">
        <f t="shared" si="2"/>
        <v>0</v>
      </c>
      <c r="AU40" s="554">
        <f t="shared" si="2"/>
        <v>0</v>
      </c>
      <c r="AV40" s="554">
        <f t="shared" si="2"/>
        <v>0</v>
      </c>
      <c r="AW40" s="554">
        <f t="shared" si="2"/>
        <v>0</v>
      </c>
      <c r="AX40" s="554">
        <f t="shared" si="2"/>
        <v>0</v>
      </c>
      <c r="AY40" s="554">
        <f t="shared" si="2"/>
        <v>0</v>
      </c>
    </row>
    <row r="41" spans="2:51" ht="15.95" customHeight="1" thickBot="1" x14ac:dyDescent="0.3">
      <c r="B41" s="798" t="s">
        <v>1306</v>
      </c>
      <c r="C41" s="800"/>
      <c r="D41" s="808">
        <f>SUM(K41:AD41)</f>
        <v>4138134.8710333332</v>
      </c>
      <c r="F41"/>
      <c r="G41"/>
      <c r="H41"/>
      <c r="I41"/>
      <c r="J41" s="558" t="s">
        <v>1269</v>
      </c>
      <c r="K41" s="441">
        <f>IF(AND(K40&gt;7,AF40&gt;7),K39*(1-0.015),(K39/48)*(48-K43)+(K39*K43*(1-0.015)/48))</f>
        <v>4138134.8710333332</v>
      </c>
      <c r="L41" s="441">
        <f t="shared" ref="L41:AD41" si="3">IF(AND(L40&gt;7,AG40&gt;7),L39*(1-0.015),(L39/48)*(48-L43)+(L39*L43*(1-0.015)/48))</f>
        <v>0</v>
      </c>
      <c r="M41" s="441">
        <f t="shared" si="3"/>
        <v>0</v>
      </c>
      <c r="N41" s="441">
        <f t="shared" si="3"/>
        <v>0</v>
      </c>
      <c r="O41" s="441">
        <f t="shared" si="3"/>
        <v>0</v>
      </c>
      <c r="P41" s="441">
        <f t="shared" si="3"/>
        <v>0</v>
      </c>
      <c r="Q41" s="441">
        <f t="shared" si="3"/>
        <v>0</v>
      </c>
      <c r="R41" s="441">
        <f t="shared" si="3"/>
        <v>0</v>
      </c>
      <c r="S41" s="441">
        <f t="shared" si="3"/>
        <v>0</v>
      </c>
      <c r="T41" s="441">
        <f t="shared" si="3"/>
        <v>0</v>
      </c>
      <c r="U41" s="441">
        <f t="shared" si="3"/>
        <v>0</v>
      </c>
      <c r="V41" s="441">
        <f t="shared" si="3"/>
        <v>0</v>
      </c>
      <c r="W41" s="441">
        <f t="shared" si="3"/>
        <v>0</v>
      </c>
      <c r="X41" s="441">
        <f t="shared" si="3"/>
        <v>0</v>
      </c>
      <c r="Y41" s="441">
        <f t="shared" si="3"/>
        <v>0</v>
      </c>
      <c r="Z41" s="441">
        <f t="shared" si="3"/>
        <v>0</v>
      </c>
      <c r="AA41" s="441">
        <f t="shared" si="3"/>
        <v>0</v>
      </c>
      <c r="AB41" s="441">
        <f t="shared" si="3"/>
        <v>0</v>
      </c>
      <c r="AC41" s="441">
        <f t="shared" si="3"/>
        <v>0</v>
      </c>
      <c r="AD41" s="441">
        <f t="shared" si="3"/>
        <v>0</v>
      </c>
      <c r="AF41" s="555"/>
      <c r="AG41" s="555"/>
      <c r="AH41" s="555"/>
      <c r="AI41" s="555"/>
      <c r="AJ41" s="555"/>
      <c r="AK41" s="555"/>
      <c r="AL41" s="555"/>
      <c r="AM41" s="555"/>
      <c r="AN41" s="555"/>
      <c r="AO41" s="555"/>
      <c r="AP41" s="555"/>
      <c r="AQ41" s="555"/>
      <c r="AR41" s="555"/>
      <c r="AS41" s="555"/>
      <c r="AT41" s="555"/>
      <c r="AU41" s="555"/>
      <c r="AV41" s="555"/>
      <c r="AW41" s="555"/>
      <c r="AX41" s="555"/>
      <c r="AY41" s="555"/>
    </row>
    <row r="42" spans="2:51" ht="3.6" customHeight="1" thickBot="1" x14ac:dyDescent="0.3">
      <c r="F42"/>
      <c r="G42"/>
      <c r="H42"/>
      <c r="I42"/>
    </row>
    <row r="43" spans="2:51" ht="18.95" customHeight="1" thickBot="1" x14ac:dyDescent="0.3">
      <c r="F43"/>
      <c r="G43"/>
      <c r="H43"/>
      <c r="I43"/>
      <c r="J43" s="263" t="s">
        <v>1267</v>
      </c>
      <c r="K43" s="263">
        <f>IFERROR(VLOOKUP("ok",$AF$142:$AZ$189,21,FALSE),0)</f>
        <v>48</v>
      </c>
      <c r="L43" s="263">
        <f>IFERROR(VLOOKUP("ok",$AG$142:$AZ$189,20,FALSE),0)</f>
        <v>0</v>
      </c>
      <c r="M43" s="263">
        <f>IFERROR(VLOOKUP("ok",$AH$142:$AZ$189,19,FALSE),0)</f>
        <v>0</v>
      </c>
      <c r="N43" s="263">
        <f>IFERROR(VLOOKUP("ok",$AI$142:$AZ$189,18,FALSE),0)</f>
        <v>0</v>
      </c>
      <c r="O43" s="263">
        <f>IFERROR(VLOOKUP("ok",$AJ$142:$AZ$189,17,FALSE),0)</f>
        <v>0</v>
      </c>
      <c r="P43" s="263">
        <f>IFERROR(VLOOKUP("ok",$AK$142:$AZ$189,16,FALSE),0)</f>
        <v>0</v>
      </c>
      <c r="Q43" s="263">
        <f>IFERROR(VLOOKUP("ok",$AL$142:$AZ$189,15,FALSE),0)</f>
        <v>0</v>
      </c>
      <c r="R43" s="263">
        <f>IFERROR(VLOOKUP("ok",$AM$142:$AZ$189,14,FALSE),0)</f>
        <v>0</v>
      </c>
      <c r="S43" s="263">
        <f>IFERROR(VLOOKUP("ok",$AN$142:$AZ$189,13,FALSE),0)</f>
        <v>0</v>
      </c>
      <c r="T43" s="263">
        <f>IFERROR(VLOOKUP("ok",$AO$142:$AZ$189,12,FALSE),0)</f>
        <v>0</v>
      </c>
      <c r="U43" s="263">
        <f>IFERROR(VLOOKUP("ok",$AP$142:$AZ$189,11,FALSE),0)</f>
        <v>0</v>
      </c>
      <c r="V43" s="263">
        <f>IFERROR(VLOOKUP("ok",$AQ$142:$AZ$189,10,FALSE),0)</f>
        <v>0</v>
      </c>
      <c r="W43" s="263">
        <f>IFERROR(VLOOKUP("ok",$AZ$142:$AHR$189,9,FALSE),0)</f>
        <v>0</v>
      </c>
      <c r="X43" s="263">
        <f>IFERROR(VLOOKUP("ok",$AS$142:$AZ$189,8,FALSE),0)</f>
        <v>0</v>
      </c>
      <c r="Y43" s="263">
        <f>IFERROR(VLOOKUP("ok",$AT$142:$AZ$189,7,FALSE),0)</f>
        <v>0</v>
      </c>
      <c r="Z43" s="263">
        <f>IFERROR(VLOOKUP("ok",$AU$142:$AZ$189,6,FALSE),0)</f>
        <v>0</v>
      </c>
      <c r="AA43" s="263">
        <f>IFERROR(VLOOKUP("ok",$AV$142:$AZ$189,5,FALSE),0)</f>
        <v>0</v>
      </c>
      <c r="AB43" s="263">
        <f>IFERROR(VLOOKUP("ok",$AW$142:$AZ$189,4,FALSE),0)</f>
        <v>0</v>
      </c>
      <c r="AC43" s="263">
        <f>IFERROR(VLOOKUP("ok",$AX$142:$AZ$189,3,FALSE),0)</f>
        <v>0</v>
      </c>
      <c r="AD43" s="519">
        <f>IFERROR(VLOOKUP("ok",$AY$142:$AZ$189,2,FALSE),0)</f>
        <v>0</v>
      </c>
      <c r="AE43" s="818" t="s">
        <v>1270</v>
      </c>
      <c r="AF43" s="820">
        <f>SUM(AF44:AF91)</f>
        <v>10</v>
      </c>
      <c r="AG43" s="820">
        <f t="shared" ref="AG43:AY43" si="4">SUM(AG44:AG91)</f>
        <v>0</v>
      </c>
      <c r="AH43" s="820">
        <f t="shared" si="4"/>
        <v>0</v>
      </c>
      <c r="AI43" s="820">
        <f t="shared" si="4"/>
        <v>0</v>
      </c>
      <c r="AJ43" s="820">
        <f t="shared" si="4"/>
        <v>0</v>
      </c>
      <c r="AK43" s="820">
        <f t="shared" si="4"/>
        <v>0</v>
      </c>
      <c r="AL43" s="820">
        <f t="shared" si="4"/>
        <v>0</v>
      </c>
      <c r="AM43" s="820">
        <f t="shared" si="4"/>
        <v>0</v>
      </c>
      <c r="AN43" s="820">
        <f t="shared" si="4"/>
        <v>0</v>
      </c>
      <c r="AO43" s="820">
        <f t="shared" si="4"/>
        <v>0</v>
      </c>
      <c r="AP43" s="820">
        <f t="shared" si="4"/>
        <v>0</v>
      </c>
      <c r="AQ43" s="820">
        <f t="shared" si="4"/>
        <v>0</v>
      </c>
      <c r="AR43" s="820">
        <f t="shared" si="4"/>
        <v>0</v>
      </c>
      <c r="AS43" s="820">
        <f t="shared" si="4"/>
        <v>0</v>
      </c>
      <c r="AT43" s="820">
        <f t="shared" si="4"/>
        <v>0</v>
      </c>
      <c r="AU43" s="820">
        <f t="shared" si="4"/>
        <v>0</v>
      </c>
      <c r="AV43" s="820">
        <f t="shared" si="4"/>
        <v>0</v>
      </c>
      <c r="AW43" s="820">
        <f t="shared" si="4"/>
        <v>0</v>
      </c>
      <c r="AX43" s="820">
        <f t="shared" si="4"/>
        <v>0</v>
      </c>
      <c r="AY43" s="820">
        <f t="shared" si="4"/>
        <v>0</v>
      </c>
    </row>
    <row r="44" spans="2:51" x14ac:dyDescent="0.25">
      <c r="AE44" s="819">
        <v>48</v>
      </c>
      <c r="AF44" s="809">
        <f>COUNTIF(AF$21:AF$38,$AE44)</f>
        <v>8</v>
      </c>
      <c r="AG44" s="809">
        <f t="shared" ref="AG44:AY58" si="5">COUNTIF(AG$21:AG$38,$AE44)</f>
        <v>0</v>
      </c>
      <c r="AH44" s="809">
        <f t="shared" si="5"/>
        <v>0</v>
      </c>
      <c r="AI44" s="809">
        <f t="shared" si="5"/>
        <v>0</v>
      </c>
      <c r="AJ44" s="809">
        <f t="shared" si="5"/>
        <v>0</v>
      </c>
      <c r="AK44" s="809">
        <f t="shared" si="5"/>
        <v>0</v>
      </c>
      <c r="AL44" s="809">
        <f t="shared" si="5"/>
        <v>0</v>
      </c>
      <c r="AM44" s="809">
        <f t="shared" si="5"/>
        <v>0</v>
      </c>
      <c r="AN44" s="809">
        <f t="shared" si="5"/>
        <v>0</v>
      </c>
      <c r="AO44" s="809">
        <f t="shared" si="5"/>
        <v>0</v>
      </c>
      <c r="AP44" s="809">
        <f t="shared" si="5"/>
        <v>0</v>
      </c>
      <c r="AQ44" s="809">
        <f t="shared" si="5"/>
        <v>0</v>
      </c>
      <c r="AR44" s="809">
        <f t="shared" si="5"/>
        <v>0</v>
      </c>
      <c r="AS44" s="809">
        <f t="shared" si="5"/>
        <v>0</v>
      </c>
      <c r="AT44" s="809">
        <f t="shared" si="5"/>
        <v>0</v>
      </c>
      <c r="AU44" s="809">
        <f t="shared" si="5"/>
        <v>0</v>
      </c>
      <c r="AV44" s="809">
        <f t="shared" si="5"/>
        <v>0</v>
      </c>
      <c r="AW44" s="809">
        <f t="shared" si="5"/>
        <v>0</v>
      </c>
      <c r="AX44" s="809">
        <f t="shared" si="5"/>
        <v>0</v>
      </c>
      <c r="AY44" s="809">
        <f t="shared" si="5"/>
        <v>0</v>
      </c>
    </row>
    <row r="45" spans="2:51" x14ac:dyDescent="0.25">
      <c r="AE45" s="819">
        <v>47</v>
      </c>
      <c r="AF45" s="809">
        <f t="shared" ref="AF45:AU91" si="6">COUNTIF(AF$21:AF$38,$AE45)</f>
        <v>0</v>
      </c>
      <c r="AG45" s="809">
        <f t="shared" si="6"/>
        <v>0</v>
      </c>
      <c r="AH45" s="809">
        <f t="shared" si="6"/>
        <v>0</v>
      </c>
      <c r="AI45" s="809">
        <f t="shared" si="6"/>
        <v>0</v>
      </c>
      <c r="AJ45" s="809">
        <f t="shared" si="6"/>
        <v>0</v>
      </c>
      <c r="AK45" s="809">
        <f t="shared" si="6"/>
        <v>0</v>
      </c>
      <c r="AL45" s="809">
        <f t="shared" si="6"/>
        <v>0</v>
      </c>
      <c r="AM45" s="809">
        <f t="shared" si="6"/>
        <v>0</v>
      </c>
      <c r="AN45" s="809">
        <f t="shared" si="6"/>
        <v>0</v>
      </c>
      <c r="AO45" s="809">
        <f t="shared" si="6"/>
        <v>0</v>
      </c>
      <c r="AP45" s="809">
        <f t="shared" si="6"/>
        <v>0</v>
      </c>
      <c r="AQ45" s="809">
        <f t="shared" si="6"/>
        <v>0</v>
      </c>
      <c r="AR45" s="809">
        <f t="shared" si="6"/>
        <v>0</v>
      </c>
      <c r="AS45" s="809">
        <f t="shared" si="6"/>
        <v>0</v>
      </c>
      <c r="AT45" s="809">
        <f t="shared" si="6"/>
        <v>0</v>
      </c>
      <c r="AU45" s="809">
        <f t="shared" si="6"/>
        <v>0</v>
      </c>
      <c r="AV45" s="809">
        <f t="shared" si="5"/>
        <v>0</v>
      </c>
      <c r="AW45" s="809">
        <f t="shared" si="5"/>
        <v>0</v>
      </c>
      <c r="AX45" s="809">
        <f t="shared" si="5"/>
        <v>0</v>
      </c>
      <c r="AY45" s="809">
        <f t="shared" si="5"/>
        <v>0</v>
      </c>
    </row>
    <row r="46" spans="2:51" x14ac:dyDescent="0.25">
      <c r="AE46" s="819">
        <v>46</v>
      </c>
      <c r="AF46" s="809">
        <f t="shared" si="6"/>
        <v>2</v>
      </c>
      <c r="AG46" s="809">
        <f t="shared" si="5"/>
        <v>0</v>
      </c>
      <c r="AH46" s="809">
        <f t="shared" si="5"/>
        <v>0</v>
      </c>
      <c r="AI46" s="809">
        <f t="shared" si="5"/>
        <v>0</v>
      </c>
      <c r="AJ46" s="809">
        <f t="shared" si="5"/>
        <v>0</v>
      </c>
      <c r="AK46" s="809">
        <f t="shared" si="5"/>
        <v>0</v>
      </c>
      <c r="AL46" s="809">
        <f t="shared" si="5"/>
        <v>0</v>
      </c>
      <c r="AM46" s="809">
        <f t="shared" si="5"/>
        <v>0</v>
      </c>
      <c r="AN46" s="809">
        <f t="shared" si="5"/>
        <v>0</v>
      </c>
      <c r="AO46" s="809">
        <f t="shared" si="5"/>
        <v>0</v>
      </c>
      <c r="AP46" s="809">
        <f t="shared" si="5"/>
        <v>0</v>
      </c>
      <c r="AQ46" s="809">
        <f t="shared" si="5"/>
        <v>0</v>
      </c>
      <c r="AR46" s="809">
        <f t="shared" si="5"/>
        <v>0</v>
      </c>
      <c r="AS46" s="809">
        <f t="shared" si="5"/>
        <v>0</v>
      </c>
      <c r="AT46" s="809">
        <f t="shared" si="5"/>
        <v>0</v>
      </c>
      <c r="AU46" s="809">
        <f t="shared" si="5"/>
        <v>0</v>
      </c>
      <c r="AV46" s="809">
        <f t="shared" si="5"/>
        <v>0</v>
      </c>
      <c r="AW46" s="809">
        <f t="shared" si="5"/>
        <v>0</v>
      </c>
      <c r="AX46" s="809">
        <f t="shared" si="5"/>
        <v>0</v>
      </c>
      <c r="AY46" s="809">
        <f t="shared" si="5"/>
        <v>0</v>
      </c>
    </row>
    <row r="47" spans="2:51" x14ac:dyDescent="0.25">
      <c r="AE47" s="819">
        <v>45</v>
      </c>
      <c r="AF47" s="809">
        <f t="shared" si="6"/>
        <v>0</v>
      </c>
      <c r="AG47" s="809">
        <f t="shared" si="5"/>
        <v>0</v>
      </c>
      <c r="AH47" s="809">
        <f t="shared" si="5"/>
        <v>0</v>
      </c>
      <c r="AI47" s="809">
        <f t="shared" si="5"/>
        <v>0</v>
      </c>
      <c r="AJ47" s="809">
        <f t="shared" si="5"/>
        <v>0</v>
      </c>
      <c r="AK47" s="809">
        <f t="shared" si="5"/>
        <v>0</v>
      </c>
      <c r="AL47" s="809">
        <f t="shared" si="5"/>
        <v>0</v>
      </c>
      <c r="AM47" s="809">
        <f t="shared" si="5"/>
        <v>0</v>
      </c>
      <c r="AN47" s="809">
        <f t="shared" si="5"/>
        <v>0</v>
      </c>
      <c r="AO47" s="809">
        <f t="shared" si="5"/>
        <v>0</v>
      </c>
      <c r="AP47" s="809">
        <f t="shared" si="5"/>
        <v>0</v>
      </c>
      <c r="AQ47" s="809">
        <f t="shared" si="5"/>
        <v>0</v>
      </c>
      <c r="AR47" s="809">
        <f t="shared" si="5"/>
        <v>0</v>
      </c>
      <c r="AS47" s="809">
        <f t="shared" si="5"/>
        <v>0</v>
      </c>
      <c r="AT47" s="809">
        <f t="shared" si="5"/>
        <v>0</v>
      </c>
      <c r="AU47" s="809">
        <f t="shared" si="5"/>
        <v>0</v>
      </c>
      <c r="AV47" s="809">
        <f t="shared" si="5"/>
        <v>0</v>
      </c>
      <c r="AW47" s="809">
        <f t="shared" si="5"/>
        <v>0</v>
      </c>
      <c r="AX47" s="809">
        <f t="shared" si="5"/>
        <v>0</v>
      </c>
      <c r="AY47" s="809">
        <f t="shared" si="5"/>
        <v>0</v>
      </c>
    </row>
    <row r="48" spans="2:51" x14ac:dyDescent="0.25">
      <c r="AE48" s="819">
        <v>44</v>
      </c>
      <c r="AF48" s="809">
        <f t="shared" si="6"/>
        <v>0</v>
      </c>
      <c r="AG48" s="809">
        <f t="shared" si="5"/>
        <v>0</v>
      </c>
      <c r="AH48" s="809">
        <f t="shared" si="5"/>
        <v>0</v>
      </c>
      <c r="AI48" s="809">
        <f t="shared" si="5"/>
        <v>0</v>
      </c>
      <c r="AJ48" s="809">
        <f t="shared" si="5"/>
        <v>0</v>
      </c>
      <c r="AK48" s="809">
        <f t="shared" si="5"/>
        <v>0</v>
      </c>
      <c r="AL48" s="809">
        <f t="shared" si="5"/>
        <v>0</v>
      </c>
      <c r="AM48" s="809">
        <f t="shared" si="5"/>
        <v>0</v>
      </c>
      <c r="AN48" s="809">
        <f t="shared" si="5"/>
        <v>0</v>
      </c>
      <c r="AO48" s="809">
        <f t="shared" si="5"/>
        <v>0</v>
      </c>
      <c r="AP48" s="809">
        <f t="shared" si="5"/>
        <v>0</v>
      </c>
      <c r="AQ48" s="809">
        <f t="shared" si="5"/>
        <v>0</v>
      </c>
      <c r="AR48" s="809">
        <f t="shared" si="5"/>
        <v>0</v>
      </c>
      <c r="AS48" s="809">
        <f t="shared" si="5"/>
        <v>0</v>
      </c>
      <c r="AT48" s="809">
        <f t="shared" si="5"/>
        <v>0</v>
      </c>
      <c r="AU48" s="809">
        <f t="shared" si="5"/>
        <v>0</v>
      </c>
      <c r="AV48" s="809">
        <f t="shared" si="5"/>
        <v>0</v>
      </c>
      <c r="AW48" s="809">
        <f t="shared" si="5"/>
        <v>0</v>
      </c>
      <c r="AX48" s="809">
        <f t="shared" si="5"/>
        <v>0</v>
      </c>
      <c r="AY48" s="809">
        <f t="shared" si="5"/>
        <v>0</v>
      </c>
    </row>
    <row r="49" spans="31:51" x14ac:dyDescent="0.25">
      <c r="AE49" s="819">
        <v>43</v>
      </c>
      <c r="AF49" s="809">
        <f t="shared" si="6"/>
        <v>0</v>
      </c>
      <c r="AG49" s="809">
        <f t="shared" si="5"/>
        <v>0</v>
      </c>
      <c r="AH49" s="809">
        <f t="shared" si="5"/>
        <v>0</v>
      </c>
      <c r="AI49" s="809">
        <f t="shared" si="5"/>
        <v>0</v>
      </c>
      <c r="AJ49" s="809">
        <f t="shared" si="5"/>
        <v>0</v>
      </c>
      <c r="AK49" s="809">
        <f t="shared" si="5"/>
        <v>0</v>
      </c>
      <c r="AL49" s="809">
        <f t="shared" si="5"/>
        <v>0</v>
      </c>
      <c r="AM49" s="809">
        <f t="shared" si="5"/>
        <v>0</v>
      </c>
      <c r="AN49" s="809">
        <f t="shared" si="5"/>
        <v>0</v>
      </c>
      <c r="AO49" s="809">
        <f t="shared" si="5"/>
        <v>0</v>
      </c>
      <c r="AP49" s="809">
        <f t="shared" si="5"/>
        <v>0</v>
      </c>
      <c r="AQ49" s="809">
        <f t="shared" si="5"/>
        <v>0</v>
      </c>
      <c r="AR49" s="809">
        <f t="shared" si="5"/>
        <v>0</v>
      </c>
      <c r="AS49" s="809">
        <f t="shared" si="5"/>
        <v>0</v>
      </c>
      <c r="AT49" s="809">
        <f t="shared" si="5"/>
        <v>0</v>
      </c>
      <c r="AU49" s="809">
        <f t="shared" si="5"/>
        <v>0</v>
      </c>
      <c r="AV49" s="809">
        <f t="shared" si="5"/>
        <v>0</v>
      </c>
      <c r="AW49" s="809">
        <f t="shared" si="5"/>
        <v>0</v>
      </c>
      <c r="AX49" s="809">
        <f t="shared" si="5"/>
        <v>0</v>
      </c>
      <c r="AY49" s="809">
        <f t="shared" si="5"/>
        <v>0</v>
      </c>
    </row>
    <row r="50" spans="31:51" x14ac:dyDescent="0.25">
      <c r="AE50" s="819">
        <v>42</v>
      </c>
      <c r="AF50" s="809">
        <f t="shared" si="6"/>
        <v>0</v>
      </c>
      <c r="AG50" s="809">
        <f t="shared" si="5"/>
        <v>0</v>
      </c>
      <c r="AH50" s="809">
        <f t="shared" si="5"/>
        <v>0</v>
      </c>
      <c r="AI50" s="809">
        <f t="shared" si="5"/>
        <v>0</v>
      </c>
      <c r="AJ50" s="809">
        <f t="shared" si="5"/>
        <v>0</v>
      </c>
      <c r="AK50" s="809">
        <f t="shared" si="5"/>
        <v>0</v>
      </c>
      <c r="AL50" s="809">
        <f t="shared" si="5"/>
        <v>0</v>
      </c>
      <c r="AM50" s="809">
        <f t="shared" si="5"/>
        <v>0</v>
      </c>
      <c r="AN50" s="809">
        <f t="shared" si="5"/>
        <v>0</v>
      </c>
      <c r="AO50" s="809">
        <f t="shared" si="5"/>
        <v>0</v>
      </c>
      <c r="AP50" s="809">
        <f t="shared" si="5"/>
        <v>0</v>
      </c>
      <c r="AQ50" s="809">
        <f t="shared" si="5"/>
        <v>0</v>
      </c>
      <c r="AR50" s="809">
        <f t="shared" si="5"/>
        <v>0</v>
      </c>
      <c r="AS50" s="809">
        <f t="shared" si="5"/>
        <v>0</v>
      </c>
      <c r="AT50" s="809">
        <f t="shared" si="5"/>
        <v>0</v>
      </c>
      <c r="AU50" s="809">
        <f t="shared" si="5"/>
        <v>0</v>
      </c>
      <c r="AV50" s="809">
        <f t="shared" si="5"/>
        <v>0</v>
      </c>
      <c r="AW50" s="809">
        <f t="shared" si="5"/>
        <v>0</v>
      </c>
      <c r="AX50" s="809">
        <f t="shared" si="5"/>
        <v>0</v>
      </c>
      <c r="AY50" s="809">
        <f t="shared" si="5"/>
        <v>0</v>
      </c>
    </row>
    <row r="51" spans="31:51" x14ac:dyDescent="0.25">
      <c r="AE51" s="819">
        <v>41</v>
      </c>
      <c r="AF51" s="809">
        <f t="shared" si="6"/>
        <v>0</v>
      </c>
      <c r="AG51" s="809">
        <f t="shared" si="5"/>
        <v>0</v>
      </c>
      <c r="AH51" s="809">
        <f t="shared" si="5"/>
        <v>0</v>
      </c>
      <c r="AI51" s="809">
        <f t="shared" si="5"/>
        <v>0</v>
      </c>
      <c r="AJ51" s="809">
        <f t="shared" si="5"/>
        <v>0</v>
      </c>
      <c r="AK51" s="809">
        <f t="shared" si="5"/>
        <v>0</v>
      </c>
      <c r="AL51" s="809">
        <f t="shared" si="5"/>
        <v>0</v>
      </c>
      <c r="AM51" s="809">
        <f t="shared" si="5"/>
        <v>0</v>
      </c>
      <c r="AN51" s="809">
        <f t="shared" si="5"/>
        <v>0</v>
      </c>
      <c r="AO51" s="809">
        <f t="shared" si="5"/>
        <v>0</v>
      </c>
      <c r="AP51" s="809">
        <f t="shared" si="5"/>
        <v>0</v>
      </c>
      <c r="AQ51" s="809">
        <f t="shared" si="5"/>
        <v>0</v>
      </c>
      <c r="AR51" s="809">
        <f t="shared" si="5"/>
        <v>0</v>
      </c>
      <c r="AS51" s="809">
        <f t="shared" si="5"/>
        <v>0</v>
      </c>
      <c r="AT51" s="809">
        <f t="shared" si="5"/>
        <v>0</v>
      </c>
      <c r="AU51" s="809">
        <f t="shared" si="5"/>
        <v>0</v>
      </c>
      <c r="AV51" s="809">
        <f t="shared" si="5"/>
        <v>0</v>
      </c>
      <c r="AW51" s="809">
        <f t="shared" si="5"/>
        <v>0</v>
      </c>
      <c r="AX51" s="809">
        <f t="shared" si="5"/>
        <v>0</v>
      </c>
      <c r="AY51" s="809">
        <f t="shared" si="5"/>
        <v>0</v>
      </c>
    </row>
    <row r="52" spans="31:51" x14ac:dyDescent="0.25">
      <c r="AE52" s="819">
        <v>40</v>
      </c>
      <c r="AF52" s="809">
        <f t="shared" si="6"/>
        <v>0</v>
      </c>
      <c r="AG52" s="809">
        <f t="shared" si="5"/>
        <v>0</v>
      </c>
      <c r="AH52" s="809">
        <f t="shared" si="5"/>
        <v>0</v>
      </c>
      <c r="AI52" s="809">
        <f t="shared" si="5"/>
        <v>0</v>
      </c>
      <c r="AJ52" s="809">
        <f t="shared" si="5"/>
        <v>0</v>
      </c>
      <c r="AK52" s="809">
        <f t="shared" si="5"/>
        <v>0</v>
      </c>
      <c r="AL52" s="809">
        <f t="shared" si="5"/>
        <v>0</v>
      </c>
      <c r="AM52" s="809">
        <f t="shared" si="5"/>
        <v>0</v>
      </c>
      <c r="AN52" s="809">
        <f t="shared" si="5"/>
        <v>0</v>
      </c>
      <c r="AO52" s="809">
        <f t="shared" si="5"/>
        <v>0</v>
      </c>
      <c r="AP52" s="809">
        <f t="shared" si="5"/>
        <v>0</v>
      </c>
      <c r="AQ52" s="809">
        <f t="shared" si="5"/>
        <v>0</v>
      </c>
      <c r="AR52" s="809">
        <f t="shared" si="5"/>
        <v>0</v>
      </c>
      <c r="AS52" s="809">
        <f t="shared" si="5"/>
        <v>0</v>
      </c>
      <c r="AT52" s="809">
        <f t="shared" si="5"/>
        <v>0</v>
      </c>
      <c r="AU52" s="809">
        <f t="shared" si="5"/>
        <v>0</v>
      </c>
      <c r="AV52" s="809">
        <f t="shared" si="5"/>
        <v>0</v>
      </c>
      <c r="AW52" s="809">
        <f t="shared" si="5"/>
        <v>0</v>
      </c>
      <c r="AX52" s="809">
        <f t="shared" si="5"/>
        <v>0</v>
      </c>
      <c r="AY52" s="809">
        <f t="shared" si="5"/>
        <v>0</v>
      </c>
    </row>
    <row r="53" spans="31:51" x14ac:dyDescent="0.25">
      <c r="AE53" s="819">
        <v>39</v>
      </c>
      <c r="AF53" s="809">
        <f t="shared" si="6"/>
        <v>0</v>
      </c>
      <c r="AG53" s="809">
        <f t="shared" si="5"/>
        <v>0</v>
      </c>
      <c r="AH53" s="809">
        <f t="shared" si="5"/>
        <v>0</v>
      </c>
      <c r="AI53" s="809">
        <f t="shared" si="5"/>
        <v>0</v>
      </c>
      <c r="AJ53" s="809">
        <f t="shared" si="5"/>
        <v>0</v>
      </c>
      <c r="AK53" s="809">
        <f t="shared" si="5"/>
        <v>0</v>
      </c>
      <c r="AL53" s="809">
        <f t="shared" si="5"/>
        <v>0</v>
      </c>
      <c r="AM53" s="809">
        <f t="shared" si="5"/>
        <v>0</v>
      </c>
      <c r="AN53" s="809">
        <f t="shared" si="5"/>
        <v>0</v>
      </c>
      <c r="AO53" s="809">
        <f t="shared" si="5"/>
        <v>0</v>
      </c>
      <c r="AP53" s="809">
        <f t="shared" si="5"/>
        <v>0</v>
      </c>
      <c r="AQ53" s="809">
        <f t="shared" si="5"/>
        <v>0</v>
      </c>
      <c r="AR53" s="809">
        <f t="shared" si="5"/>
        <v>0</v>
      </c>
      <c r="AS53" s="809">
        <f t="shared" si="5"/>
        <v>0</v>
      </c>
      <c r="AT53" s="809">
        <f t="shared" si="5"/>
        <v>0</v>
      </c>
      <c r="AU53" s="809">
        <f t="shared" si="5"/>
        <v>0</v>
      </c>
      <c r="AV53" s="809">
        <f t="shared" si="5"/>
        <v>0</v>
      </c>
      <c r="AW53" s="809">
        <f t="shared" si="5"/>
        <v>0</v>
      </c>
      <c r="AX53" s="809">
        <f t="shared" si="5"/>
        <v>0</v>
      </c>
      <c r="AY53" s="809">
        <f t="shared" si="5"/>
        <v>0</v>
      </c>
    </row>
    <row r="54" spans="31:51" x14ac:dyDescent="0.25">
      <c r="AE54" s="819">
        <v>38</v>
      </c>
      <c r="AF54" s="809">
        <f t="shared" si="6"/>
        <v>0</v>
      </c>
      <c r="AG54" s="809">
        <f t="shared" si="5"/>
        <v>0</v>
      </c>
      <c r="AH54" s="809">
        <f t="shared" si="5"/>
        <v>0</v>
      </c>
      <c r="AI54" s="809">
        <f t="shared" si="5"/>
        <v>0</v>
      </c>
      <c r="AJ54" s="809">
        <f t="shared" si="5"/>
        <v>0</v>
      </c>
      <c r="AK54" s="809">
        <f t="shared" si="5"/>
        <v>0</v>
      </c>
      <c r="AL54" s="809">
        <f t="shared" si="5"/>
        <v>0</v>
      </c>
      <c r="AM54" s="809">
        <f t="shared" si="5"/>
        <v>0</v>
      </c>
      <c r="AN54" s="809">
        <f t="shared" si="5"/>
        <v>0</v>
      </c>
      <c r="AO54" s="809">
        <f t="shared" si="5"/>
        <v>0</v>
      </c>
      <c r="AP54" s="809">
        <f t="shared" si="5"/>
        <v>0</v>
      </c>
      <c r="AQ54" s="809">
        <f t="shared" si="5"/>
        <v>0</v>
      </c>
      <c r="AR54" s="809">
        <f t="shared" si="5"/>
        <v>0</v>
      </c>
      <c r="AS54" s="809">
        <f t="shared" si="5"/>
        <v>0</v>
      </c>
      <c r="AT54" s="809">
        <f t="shared" si="5"/>
        <v>0</v>
      </c>
      <c r="AU54" s="809">
        <f t="shared" si="5"/>
        <v>0</v>
      </c>
      <c r="AV54" s="809">
        <f t="shared" si="5"/>
        <v>0</v>
      </c>
      <c r="AW54" s="809">
        <f t="shared" si="5"/>
        <v>0</v>
      </c>
      <c r="AX54" s="809">
        <f t="shared" si="5"/>
        <v>0</v>
      </c>
      <c r="AY54" s="809">
        <f t="shared" si="5"/>
        <v>0</v>
      </c>
    </row>
    <row r="55" spans="31:51" x14ac:dyDescent="0.25">
      <c r="AE55" s="819">
        <v>37</v>
      </c>
      <c r="AF55" s="809">
        <f t="shared" si="6"/>
        <v>0</v>
      </c>
      <c r="AG55" s="809">
        <f t="shared" si="5"/>
        <v>0</v>
      </c>
      <c r="AH55" s="809">
        <f t="shared" si="5"/>
        <v>0</v>
      </c>
      <c r="AI55" s="809">
        <f t="shared" si="5"/>
        <v>0</v>
      </c>
      <c r="AJ55" s="809">
        <f t="shared" si="5"/>
        <v>0</v>
      </c>
      <c r="AK55" s="809">
        <f t="shared" si="5"/>
        <v>0</v>
      </c>
      <c r="AL55" s="809">
        <f t="shared" si="5"/>
        <v>0</v>
      </c>
      <c r="AM55" s="809">
        <f t="shared" si="5"/>
        <v>0</v>
      </c>
      <c r="AN55" s="809">
        <f t="shared" si="5"/>
        <v>0</v>
      </c>
      <c r="AO55" s="809">
        <f t="shared" si="5"/>
        <v>0</v>
      </c>
      <c r="AP55" s="809">
        <f t="shared" si="5"/>
        <v>0</v>
      </c>
      <c r="AQ55" s="809">
        <f t="shared" si="5"/>
        <v>0</v>
      </c>
      <c r="AR55" s="809">
        <f t="shared" si="5"/>
        <v>0</v>
      </c>
      <c r="AS55" s="809">
        <f t="shared" si="5"/>
        <v>0</v>
      </c>
      <c r="AT55" s="809">
        <f t="shared" si="5"/>
        <v>0</v>
      </c>
      <c r="AU55" s="809">
        <f t="shared" si="5"/>
        <v>0</v>
      </c>
      <c r="AV55" s="809">
        <f t="shared" si="5"/>
        <v>0</v>
      </c>
      <c r="AW55" s="809">
        <f t="shared" si="5"/>
        <v>0</v>
      </c>
      <c r="AX55" s="809">
        <f t="shared" si="5"/>
        <v>0</v>
      </c>
      <c r="AY55" s="809">
        <f t="shared" si="5"/>
        <v>0</v>
      </c>
    </row>
    <row r="56" spans="31:51" x14ac:dyDescent="0.25">
      <c r="AE56" s="819">
        <v>36</v>
      </c>
      <c r="AF56" s="809">
        <f t="shared" si="6"/>
        <v>0</v>
      </c>
      <c r="AG56" s="809">
        <f t="shared" si="5"/>
        <v>0</v>
      </c>
      <c r="AH56" s="809">
        <f t="shared" si="5"/>
        <v>0</v>
      </c>
      <c r="AI56" s="809">
        <f t="shared" si="5"/>
        <v>0</v>
      </c>
      <c r="AJ56" s="809">
        <f t="shared" si="5"/>
        <v>0</v>
      </c>
      <c r="AK56" s="809">
        <f t="shared" si="5"/>
        <v>0</v>
      </c>
      <c r="AL56" s="809">
        <f t="shared" si="5"/>
        <v>0</v>
      </c>
      <c r="AM56" s="809">
        <f t="shared" si="5"/>
        <v>0</v>
      </c>
      <c r="AN56" s="809">
        <f t="shared" si="5"/>
        <v>0</v>
      </c>
      <c r="AO56" s="809">
        <f t="shared" si="5"/>
        <v>0</v>
      </c>
      <c r="AP56" s="809">
        <f t="shared" si="5"/>
        <v>0</v>
      </c>
      <c r="AQ56" s="809">
        <f t="shared" si="5"/>
        <v>0</v>
      </c>
      <c r="AR56" s="809">
        <f t="shared" si="5"/>
        <v>0</v>
      </c>
      <c r="AS56" s="809">
        <f t="shared" si="5"/>
        <v>0</v>
      </c>
      <c r="AT56" s="809">
        <f t="shared" si="5"/>
        <v>0</v>
      </c>
      <c r="AU56" s="809">
        <f t="shared" si="5"/>
        <v>0</v>
      </c>
      <c r="AV56" s="809">
        <f t="shared" si="5"/>
        <v>0</v>
      </c>
      <c r="AW56" s="809">
        <f t="shared" si="5"/>
        <v>0</v>
      </c>
      <c r="AX56" s="809">
        <f t="shared" si="5"/>
        <v>0</v>
      </c>
      <c r="AY56" s="809">
        <f t="shared" si="5"/>
        <v>0</v>
      </c>
    </row>
    <row r="57" spans="31:51" x14ac:dyDescent="0.25">
      <c r="AE57" s="819">
        <v>35</v>
      </c>
      <c r="AF57" s="809">
        <f t="shared" si="6"/>
        <v>0</v>
      </c>
      <c r="AG57" s="809">
        <f t="shared" si="5"/>
        <v>0</v>
      </c>
      <c r="AH57" s="809">
        <f t="shared" si="5"/>
        <v>0</v>
      </c>
      <c r="AI57" s="809">
        <f t="shared" si="5"/>
        <v>0</v>
      </c>
      <c r="AJ57" s="809">
        <f t="shared" si="5"/>
        <v>0</v>
      </c>
      <c r="AK57" s="809">
        <f t="shared" si="5"/>
        <v>0</v>
      </c>
      <c r="AL57" s="809">
        <f t="shared" si="5"/>
        <v>0</v>
      </c>
      <c r="AM57" s="809">
        <f t="shared" si="5"/>
        <v>0</v>
      </c>
      <c r="AN57" s="809">
        <f t="shared" si="5"/>
        <v>0</v>
      </c>
      <c r="AO57" s="809">
        <f t="shared" si="5"/>
        <v>0</v>
      </c>
      <c r="AP57" s="809">
        <f t="shared" si="5"/>
        <v>0</v>
      </c>
      <c r="AQ57" s="809">
        <f t="shared" si="5"/>
        <v>0</v>
      </c>
      <c r="AR57" s="809">
        <f t="shared" si="5"/>
        <v>0</v>
      </c>
      <c r="AS57" s="809">
        <f t="shared" si="5"/>
        <v>0</v>
      </c>
      <c r="AT57" s="809">
        <f t="shared" si="5"/>
        <v>0</v>
      </c>
      <c r="AU57" s="809">
        <f t="shared" si="5"/>
        <v>0</v>
      </c>
      <c r="AV57" s="809">
        <f t="shared" si="5"/>
        <v>0</v>
      </c>
      <c r="AW57" s="809">
        <f t="shared" si="5"/>
        <v>0</v>
      </c>
      <c r="AX57" s="809">
        <f t="shared" si="5"/>
        <v>0</v>
      </c>
      <c r="AY57" s="809">
        <f t="shared" si="5"/>
        <v>0</v>
      </c>
    </row>
    <row r="58" spans="31:51" x14ac:dyDescent="0.25">
      <c r="AE58" s="819">
        <v>34</v>
      </c>
      <c r="AF58" s="809">
        <f t="shared" si="6"/>
        <v>0</v>
      </c>
      <c r="AG58" s="809">
        <f t="shared" si="5"/>
        <v>0</v>
      </c>
      <c r="AH58" s="809">
        <f t="shared" si="5"/>
        <v>0</v>
      </c>
      <c r="AI58" s="809">
        <f t="shared" si="5"/>
        <v>0</v>
      </c>
      <c r="AJ58" s="809">
        <f t="shared" si="5"/>
        <v>0</v>
      </c>
      <c r="AK58" s="809">
        <f t="shared" ref="AG58:AY71" si="7">COUNTIF(AK$21:AK$38,$AE58)</f>
        <v>0</v>
      </c>
      <c r="AL58" s="809">
        <f t="shared" si="7"/>
        <v>0</v>
      </c>
      <c r="AM58" s="809">
        <f t="shared" si="7"/>
        <v>0</v>
      </c>
      <c r="AN58" s="809">
        <f t="shared" si="7"/>
        <v>0</v>
      </c>
      <c r="AO58" s="809">
        <f t="shared" si="7"/>
        <v>0</v>
      </c>
      <c r="AP58" s="809">
        <f t="shared" si="7"/>
        <v>0</v>
      </c>
      <c r="AQ58" s="809">
        <f t="shared" si="7"/>
        <v>0</v>
      </c>
      <c r="AR58" s="809">
        <f t="shared" si="7"/>
        <v>0</v>
      </c>
      <c r="AS58" s="809">
        <f t="shared" si="7"/>
        <v>0</v>
      </c>
      <c r="AT58" s="809">
        <f t="shared" si="7"/>
        <v>0</v>
      </c>
      <c r="AU58" s="809">
        <f t="shared" si="7"/>
        <v>0</v>
      </c>
      <c r="AV58" s="809">
        <f t="shared" si="7"/>
        <v>0</v>
      </c>
      <c r="AW58" s="809">
        <f t="shared" si="7"/>
        <v>0</v>
      </c>
      <c r="AX58" s="809">
        <f t="shared" si="7"/>
        <v>0</v>
      </c>
      <c r="AY58" s="809">
        <f t="shared" si="7"/>
        <v>0</v>
      </c>
    </row>
    <row r="59" spans="31:51" x14ac:dyDescent="0.25">
      <c r="AE59" s="819">
        <v>33</v>
      </c>
      <c r="AF59" s="809">
        <f t="shared" si="6"/>
        <v>0</v>
      </c>
      <c r="AG59" s="809">
        <f t="shared" si="7"/>
        <v>0</v>
      </c>
      <c r="AH59" s="809">
        <f t="shared" si="7"/>
        <v>0</v>
      </c>
      <c r="AI59" s="809">
        <f t="shared" si="7"/>
        <v>0</v>
      </c>
      <c r="AJ59" s="809">
        <f t="shared" si="7"/>
        <v>0</v>
      </c>
      <c r="AK59" s="809">
        <f t="shared" si="7"/>
        <v>0</v>
      </c>
      <c r="AL59" s="809">
        <f t="shared" si="7"/>
        <v>0</v>
      </c>
      <c r="AM59" s="809">
        <f t="shared" si="7"/>
        <v>0</v>
      </c>
      <c r="AN59" s="809">
        <f t="shared" si="7"/>
        <v>0</v>
      </c>
      <c r="AO59" s="809">
        <f t="shared" si="7"/>
        <v>0</v>
      </c>
      <c r="AP59" s="809">
        <f t="shared" si="7"/>
        <v>0</v>
      </c>
      <c r="AQ59" s="809">
        <f t="shared" si="7"/>
        <v>0</v>
      </c>
      <c r="AR59" s="809">
        <f t="shared" si="7"/>
        <v>0</v>
      </c>
      <c r="AS59" s="809">
        <f t="shared" si="7"/>
        <v>0</v>
      </c>
      <c r="AT59" s="809">
        <f t="shared" si="7"/>
        <v>0</v>
      </c>
      <c r="AU59" s="809">
        <f t="shared" si="7"/>
        <v>0</v>
      </c>
      <c r="AV59" s="809">
        <f t="shared" si="7"/>
        <v>0</v>
      </c>
      <c r="AW59" s="809">
        <f t="shared" si="7"/>
        <v>0</v>
      </c>
      <c r="AX59" s="809">
        <f t="shared" si="7"/>
        <v>0</v>
      </c>
      <c r="AY59" s="809">
        <f t="shared" si="7"/>
        <v>0</v>
      </c>
    </row>
    <row r="60" spans="31:51" x14ac:dyDescent="0.25">
      <c r="AE60" s="819">
        <v>32</v>
      </c>
      <c r="AF60" s="809">
        <f t="shared" si="6"/>
        <v>0</v>
      </c>
      <c r="AG60" s="809">
        <f t="shared" si="7"/>
        <v>0</v>
      </c>
      <c r="AH60" s="809">
        <f t="shared" si="7"/>
        <v>0</v>
      </c>
      <c r="AI60" s="809">
        <f t="shared" si="7"/>
        <v>0</v>
      </c>
      <c r="AJ60" s="809">
        <f t="shared" si="7"/>
        <v>0</v>
      </c>
      <c r="AK60" s="809">
        <f t="shared" si="7"/>
        <v>0</v>
      </c>
      <c r="AL60" s="809">
        <f t="shared" si="7"/>
        <v>0</v>
      </c>
      <c r="AM60" s="809">
        <f t="shared" si="7"/>
        <v>0</v>
      </c>
      <c r="AN60" s="809">
        <f t="shared" si="7"/>
        <v>0</v>
      </c>
      <c r="AO60" s="809">
        <f t="shared" si="7"/>
        <v>0</v>
      </c>
      <c r="AP60" s="809">
        <f t="shared" si="7"/>
        <v>0</v>
      </c>
      <c r="AQ60" s="809">
        <f t="shared" si="7"/>
        <v>0</v>
      </c>
      <c r="AR60" s="809">
        <f t="shared" si="7"/>
        <v>0</v>
      </c>
      <c r="AS60" s="809">
        <f t="shared" si="7"/>
        <v>0</v>
      </c>
      <c r="AT60" s="809">
        <f t="shared" si="7"/>
        <v>0</v>
      </c>
      <c r="AU60" s="809">
        <f t="shared" si="7"/>
        <v>0</v>
      </c>
      <c r="AV60" s="809">
        <f t="shared" si="7"/>
        <v>0</v>
      </c>
      <c r="AW60" s="809">
        <f t="shared" si="7"/>
        <v>0</v>
      </c>
      <c r="AX60" s="809">
        <f t="shared" si="7"/>
        <v>0</v>
      </c>
      <c r="AY60" s="809">
        <f t="shared" si="7"/>
        <v>0</v>
      </c>
    </row>
    <row r="61" spans="31:51" x14ac:dyDescent="0.25">
      <c r="AE61" s="819">
        <v>31</v>
      </c>
      <c r="AF61" s="809">
        <f t="shared" si="6"/>
        <v>0</v>
      </c>
      <c r="AG61" s="809">
        <f t="shared" si="7"/>
        <v>0</v>
      </c>
      <c r="AH61" s="809">
        <f t="shared" si="7"/>
        <v>0</v>
      </c>
      <c r="AI61" s="809">
        <f t="shared" si="7"/>
        <v>0</v>
      </c>
      <c r="AJ61" s="809">
        <f t="shared" si="7"/>
        <v>0</v>
      </c>
      <c r="AK61" s="809">
        <f t="shared" si="7"/>
        <v>0</v>
      </c>
      <c r="AL61" s="809">
        <f t="shared" si="7"/>
        <v>0</v>
      </c>
      <c r="AM61" s="809">
        <f t="shared" si="7"/>
        <v>0</v>
      </c>
      <c r="AN61" s="809">
        <f t="shared" si="7"/>
        <v>0</v>
      </c>
      <c r="AO61" s="809">
        <f t="shared" si="7"/>
        <v>0</v>
      </c>
      <c r="AP61" s="809">
        <f t="shared" si="7"/>
        <v>0</v>
      </c>
      <c r="AQ61" s="809">
        <f t="shared" si="7"/>
        <v>0</v>
      </c>
      <c r="AR61" s="809">
        <f t="shared" si="7"/>
        <v>0</v>
      </c>
      <c r="AS61" s="809">
        <f t="shared" si="7"/>
        <v>0</v>
      </c>
      <c r="AT61" s="809">
        <f t="shared" si="7"/>
        <v>0</v>
      </c>
      <c r="AU61" s="809">
        <f t="shared" si="7"/>
        <v>0</v>
      </c>
      <c r="AV61" s="809">
        <f t="shared" si="7"/>
        <v>0</v>
      </c>
      <c r="AW61" s="809">
        <f t="shared" si="7"/>
        <v>0</v>
      </c>
      <c r="AX61" s="809">
        <f t="shared" si="7"/>
        <v>0</v>
      </c>
      <c r="AY61" s="809">
        <f t="shared" si="7"/>
        <v>0</v>
      </c>
    </row>
    <row r="62" spans="31:51" x14ac:dyDescent="0.25">
      <c r="AE62" s="819">
        <v>30</v>
      </c>
      <c r="AF62" s="809">
        <f t="shared" si="6"/>
        <v>0</v>
      </c>
      <c r="AG62" s="809">
        <f t="shared" si="7"/>
        <v>0</v>
      </c>
      <c r="AH62" s="809">
        <f t="shared" si="7"/>
        <v>0</v>
      </c>
      <c r="AI62" s="809">
        <f t="shared" si="7"/>
        <v>0</v>
      </c>
      <c r="AJ62" s="809">
        <f t="shared" si="7"/>
        <v>0</v>
      </c>
      <c r="AK62" s="809">
        <f t="shared" si="7"/>
        <v>0</v>
      </c>
      <c r="AL62" s="809">
        <f t="shared" si="7"/>
        <v>0</v>
      </c>
      <c r="AM62" s="809">
        <f t="shared" si="7"/>
        <v>0</v>
      </c>
      <c r="AN62" s="809">
        <f t="shared" si="7"/>
        <v>0</v>
      </c>
      <c r="AO62" s="809">
        <f t="shared" si="7"/>
        <v>0</v>
      </c>
      <c r="AP62" s="809">
        <f t="shared" si="7"/>
        <v>0</v>
      </c>
      <c r="AQ62" s="809">
        <f t="shared" si="7"/>
        <v>0</v>
      </c>
      <c r="AR62" s="809">
        <f t="shared" si="7"/>
        <v>0</v>
      </c>
      <c r="AS62" s="809">
        <f t="shared" si="7"/>
        <v>0</v>
      </c>
      <c r="AT62" s="809">
        <f t="shared" si="7"/>
        <v>0</v>
      </c>
      <c r="AU62" s="809">
        <f t="shared" si="7"/>
        <v>0</v>
      </c>
      <c r="AV62" s="809">
        <f t="shared" si="7"/>
        <v>0</v>
      </c>
      <c r="AW62" s="809">
        <f t="shared" si="7"/>
        <v>0</v>
      </c>
      <c r="AX62" s="809">
        <f t="shared" si="7"/>
        <v>0</v>
      </c>
      <c r="AY62" s="809">
        <f t="shared" si="7"/>
        <v>0</v>
      </c>
    </row>
    <row r="63" spans="31:51" x14ac:dyDescent="0.25">
      <c r="AE63" s="819">
        <v>29</v>
      </c>
      <c r="AF63" s="809">
        <f t="shared" si="6"/>
        <v>0</v>
      </c>
      <c r="AG63" s="809">
        <f t="shared" si="7"/>
        <v>0</v>
      </c>
      <c r="AH63" s="809">
        <f t="shared" si="7"/>
        <v>0</v>
      </c>
      <c r="AI63" s="809">
        <f t="shared" si="7"/>
        <v>0</v>
      </c>
      <c r="AJ63" s="809">
        <f t="shared" si="7"/>
        <v>0</v>
      </c>
      <c r="AK63" s="809">
        <f t="shared" si="7"/>
        <v>0</v>
      </c>
      <c r="AL63" s="809">
        <f t="shared" si="7"/>
        <v>0</v>
      </c>
      <c r="AM63" s="809">
        <f t="shared" si="7"/>
        <v>0</v>
      </c>
      <c r="AN63" s="809">
        <f t="shared" si="7"/>
        <v>0</v>
      </c>
      <c r="AO63" s="809">
        <f t="shared" si="7"/>
        <v>0</v>
      </c>
      <c r="AP63" s="809">
        <f t="shared" si="7"/>
        <v>0</v>
      </c>
      <c r="AQ63" s="809">
        <f t="shared" si="7"/>
        <v>0</v>
      </c>
      <c r="AR63" s="809">
        <f t="shared" si="7"/>
        <v>0</v>
      </c>
      <c r="AS63" s="809">
        <f t="shared" si="7"/>
        <v>0</v>
      </c>
      <c r="AT63" s="809">
        <f t="shared" si="7"/>
        <v>0</v>
      </c>
      <c r="AU63" s="809">
        <f t="shared" si="7"/>
        <v>0</v>
      </c>
      <c r="AV63" s="809">
        <f t="shared" si="7"/>
        <v>0</v>
      </c>
      <c r="AW63" s="809">
        <f t="shared" si="7"/>
        <v>0</v>
      </c>
      <c r="AX63" s="809">
        <f t="shared" si="7"/>
        <v>0</v>
      </c>
      <c r="AY63" s="809">
        <f t="shared" si="7"/>
        <v>0</v>
      </c>
    </row>
    <row r="64" spans="31:51" x14ac:dyDescent="0.25">
      <c r="AE64" s="819">
        <v>28</v>
      </c>
      <c r="AF64" s="809">
        <f t="shared" si="6"/>
        <v>0</v>
      </c>
      <c r="AG64" s="809">
        <f t="shared" si="7"/>
        <v>0</v>
      </c>
      <c r="AH64" s="809">
        <f t="shared" si="7"/>
        <v>0</v>
      </c>
      <c r="AI64" s="809">
        <f t="shared" si="7"/>
        <v>0</v>
      </c>
      <c r="AJ64" s="809">
        <f t="shared" si="7"/>
        <v>0</v>
      </c>
      <c r="AK64" s="809">
        <f t="shared" si="7"/>
        <v>0</v>
      </c>
      <c r="AL64" s="809">
        <f t="shared" si="7"/>
        <v>0</v>
      </c>
      <c r="AM64" s="809">
        <f t="shared" si="7"/>
        <v>0</v>
      </c>
      <c r="AN64" s="809">
        <f t="shared" si="7"/>
        <v>0</v>
      </c>
      <c r="AO64" s="809">
        <f t="shared" si="7"/>
        <v>0</v>
      </c>
      <c r="AP64" s="809">
        <f t="shared" si="7"/>
        <v>0</v>
      </c>
      <c r="AQ64" s="809">
        <f t="shared" si="7"/>
        <v>0</v>
      </c>
      <c r="AR64" s="809">
        <f t="shared" si="7"/>
        <v>0</v>
      </c>
      <c r="AS64" s="809">
        <f t="shared" si="7"/>
        <v>0</v>
      </c>
      <c r="AT64" s="809">
        <f t="shared" si="7"/>
        <v>0</v>
      </c>
      <c r="AU64" s="809">
        <f t="shared" si="7"/>
        <v>0</v>
      </c>
      <c r="AV64" s="809">
        <f t="shared" si="7"/>
        <v>0</v>
      </c>
      <c r="AW64" s="809">
        <f t="shared" si="7"/>
        <v>0</v>
      </c>
      <c r="AX64" s="809">
        <f t="shared" si="7"/>
        <v>0</v>
      </c>
      <c r="AY64" s="809">
        <f t="shared" si="7"/>
        <v>0</v>
      </c>
    </row>
    <row r="65" spans="31:51" x14ac:dyDescent="0.25">
      <c r="AE65" s="819">
        <v>27</v>
      </c>
      <c r="AF65" s="809">
        <f t="shared" si="6"/>
        <v>0</v>
      </c>
      <c r="AG65" s="809">
        <f t="shared" si="7"/>
        <v>0</v>
      </c>
      <c r="AH65" s="809">
        <f t="shared" si="7"/>
        <v>0</v>
      </c>
      <c r="AI65" s="809">
        <f t="shared" si="7"/>
        <v>0</v>
      </c>
      <c r="AJ65" s="809">
        <f t="shared" si="7"/>
        <v>0</v>
      </c>
      <c r="AK65" s="809">
        <f t="shared" si="7"/>
        <v>0</v>
      </c>
      <c r="AL65" s="809">
        <f t="shared" si="7"/>
        <v>0</v>
      </c>
      <c r="AM65" s="809">
        <f t="shared" si="7"/>
        <v>0</v>
      </c>
      <c r="AN65" s="809">
        <f t="shared" si="7"/>
        <v>0</v>
      </c>
      <c r="AO65" s="809">
        <f t="shared" si="7"/>
        <v>0</v>
      </c>
      <c r="AP65" s="809">
        <f t="shared" si="7"/>
        <v>0</v>
      </c>
      <c r="AQ65" s="809">
        <f t="shared" si="7"/>
        <v>0</v>
      </c>
      <c r="AR65" s="809">
        <f t="shared" si="7"/>
        <v>0</v>
      </c>
      <c r="AS65" s="809">
        <f t="shared" si="7"/>
        <v>0</v>
      </c>
      <c r="AT65" s="809">
        <f t="shared" si="7"/>
        <v>0</v>
      </c>
      <c r="AU65" s="809">
        <f t="shared" si="7"/>
        <v>0</v>
      </c>
      <c r="AV65" s="809">
        <f t="shared" si="7"/>
        <v>0</v>
      </c>
      <c r="AW65" s="809">
        <f t="shared" si="7"/>
        <v>0</v>
      </c>
      <c r="AX65" s="809">
        <f t="shared" si="7"/>
        <v>0</v>
      </c>
      <c r="AY65" s="809">
        <f t="shared" si="7"/>
        <v>0</v>
      </c>
    </row>
    <row r="66" spans="31:51" x14ac:dyDescent="0.25">
      <c r="AE66" s="819">
        <v>26</v>
      </c>
      <c r="AF66" s="809">
        <f t="shared" si="6"/>
        <v>0</v>
      </c>
      <c r="AG66" s="809">
        <f t="shared" si="7"/>
        <v>0</v>
      </c>
      <c r="AH66" s="809">
        <f t="shared" si="7"/>
        <v>0</v>
      </c>
      <c r="AI66" s="809">
        <f t="shared" si="7"/>
        <v>0</v>
      </c>
      <c r="AJ66" s="809">
        <f t="shared" si="7"/>
        <v>0</v>
      </c>
      <c r="AK66" s="809">
        <f t="shared" si="7"/>
        <v>0</v>
      </c>
      <c r="AL66" s="809">
        <f t="shared" si="7"/>
        <v>0</v>
      </c>
      <c r="AM66" s="809">
        <f t="shared" si="7"/>
        <v>0</v>
      </c>
      <c r="AN66" s="809">
        <f t="shared" si="7"/>
        <v>0</v>
      </c>
      <c r="AO66" s="809">
        <f t="shared" si="7"/>
        <v>0</v>
      </c>
      <c r="AP66" s="809">
        <f t="shared" si="7"/>
        <v>0</v>
      </c>
      <c r="AQ66" s="809">
        <f t="shared" si="7"/>
        <v>0</v>
      </c>
      <c r="AR66" s="809">
        <f t="shared" si="7"/>
        <v>0</v>
      </c>
      <c r="AS66" s="809">
        <f t="shared" si="7"/>
        <v>0</v>
      </c>
      <c r="AT66" s="809">
        <f t="shared" si="7"/>
        <v>0</v>
      </c>
      <c r="AU66" s="809">
        <f t="shared" si="7"/>
        <v>0</v>
      </c>
      <c r="AV66" s="809">
        <f t="shared" si="7"/>
        <v>0</v>
      </c>
      <c r="AW66" s="809">
        <f t="shared" si="7"/>
        <v>0</v>
      </c>
      <c r="AX66" s="809">
        <f t="shared" si="7"/>
        <v>0</v>
      </c>
      <c r="AY66" s="809">
        <f t="shared" si="7"/>
        <v>0</v>
      </c>
    </row>
    <row r="67" spans="31:51" x14ac:dyDescent="0.25">
      <c r="AE67" s="819">
        <v>25</v>
      </c>
      <c r="AF67" s="809">
        <f t="shared" si="6"/>
        <v>0</v>
      </c>
      <c r="AG67" s="809">
        <f t="shared" si="7"/>
        <v>0</v>
      </c>
      <c r="AH67" s="809">
        <f t="shared" si="7"/>
        <v>0</v>
      </c>
      <c r="AI67" s="809">
        <f t="shared" si="7"/>
        <v>0</v>
      </c>
      <c r="AJ67" s="809">
        <f t="shared" si="7"/>
        <v>0</v>
      </c>
      <c r="AK67" s="809">
        <f t="shared" si="7"/>
        <v>0</v>
      </c>
      <c r="AL67" s="809">
        <f t="shared" si="7"/>
        <v>0</v>
      </c>
      <c r="AM67" s="809">
        <f t="shared" si="7"/>
        <v>0</v>
      </c>
      <c r="AN67" s="809">
        <f t="shared" si="7"/>
        <v>0</v>
      </c>
      <c r="AO67" s="809">
        <f t="shared" si="7"/>
        <v>0</v>
      </c>
      <c r="AP67" s="809">
        <f t="shared" si="7"/>
        <v>0</v>
      </c>
      <c r="AQ67" s="809">
        <f t="shared" si="7"/>
        <v>0</v>
      </c>
      <c r="AR67" s="809">
        <f t="shared" si="7"/>
        <v>0</v>
      </c>
      <c r="AS67" s="809">
        <f t="shared" si="7"/>
        <v>0</v>
      </c>
      <c r="AT67" s="809">
        <f t="shared" si="7"/>
        <v>0</v>
      </c>
      <c r="AU67" s="809">
        <f t="shared" si="7"/>
        <v>0</v>
      </c>
      <c r="AV67" s="809">
        <f t="shared" si="7"/>
        <v>0</v>
      </c>
      <c r="AW67" s="809">
        <f t="shared" si="7"/>
        <v>0</v>
      </c>
      <c r="AX67" s="809">
        <f t="shared" si="7"/>
        <v>0</v>
      </c>
      <c r="AY67" s="809">
        <f t="shared" si="7"/>
        <v>0</v>
      </c>
    </row>
    <row r="68" spans="31:51" x14ac:dyDescent="0.25">
      <c r="AE68" s="819">
        <v>24</v>
      </c>
      <c r="AF68" s="809">
        <f t="shared" si="6"/>
        <v>0</v>
      </c>
      <c r="AG68" s="809">
        <f t="shared" si="7"/>
        <v>0</v>
      </c>
      <c r="AH68" s="809">
        <f t="shared" si="7"/>
        <v>0</v>
      </c>
      <c r="AI68" s="809">
        <f t="shared" si="7"/>
        <v>0</v>
      </c>
      <c r="AJ68" s="809">
        <f t="shared" si="7"/>
        <v>0</v>
      </c>
      <c r="AK68" s="809">
        <f t="shared" si="7"/>
        <v>0</v>
      </c>
      <c r="AL68" s="809">
        <f t="shared" si="7"/>
        <v>0</v>
      </c>
      <c r="AM68" s="809">
        <f t="shared" si="7"/>
        <v>0</v>
      </c>
      <c r="AN68" s="809">
        <f t="shared" si="7"/>
        <v>0</v>
      </c>
      <c r="AO68" s="809">
        <f t="shared" si="7"/>
        <v>0</v>
      </c>
      <c r="AP68" s="809">
        <f t="shared" si="7"/>
        <v>0</v>
      </c>
      <c r="AQ68" s="809">
        <f t="shared" si="7"/>
        <v>0</v>
      </c>
      <c r="AR68" s="809">
        <f t="shared" si="7"/>
        <v>0</v>
      </c>
      <c r="AS68" s="809">
        <f t="shared" si="7"/>
        <v>0</v>
      </c>
      <c r="AT68" s="809">
        <f t="shared" si="7"/>
        <v>0</v>
      </c>
      <c r="AU68" s="809">
        <f t="shared" si="7"/>
        <v>0</v>
      </c>
      <c r="AV68" s="809">
        <f t="shared" si="7"/>
        <v>0</v>
      </c>
      <c r="AW68" s="809">
        <f t="shared" si="7"/>
        <v>0</v>
      </c>
      <c r="AX68" s="809">
        <f t="shared" si="7"/>
        <v>0</v>
      </c>
      <c r="AY68" s="809">
        <f t="shared" si="7"/>
        <v>0</v>
      </c>
    </row>
    <row r="69" spans="31:51" x14ac:dyDescent="0.25">
      <c r="AE69" s="819">
        <v>23</v>
      </c>
      <c r="AF69" s="809">
        <f t="shared" si="6"/>
        <v>0</v>
      </c>
      <c r="AG69" s="809">
        <f t="shared" si="7"/>
        <v>0</v>
      </c>
      <c r="AH69" s="809">
        <f t="shared" si="7"/>
        <v>0</v>
      </c>
      <c r="AI69" s="809">
        <f t="shared" si="7"/>
        <v>0</v>
      </c>
      <c r="AJ69" s="809">
        <f t="shared" si="7"/>
        <v>0</v>
      </c>
      <c r="AK69" s="809">
        <f t="shared" si="7"/>
        <v>0</v>
      </c>
      <c r="AL69" s="809">
        <f t="shared" si="7"/>
        <v>0</v>
      </c>
      <c r="AM69" s="809">
        <f t="shared" si="7"/>
        <v>0</v>
      </c>
      <c r="AN69" s="809">
        <f t="shared" si="7"/>
        <v>0</v>
      </c>
      <c r="AO69" s="809">
        <f t="shared" si="7"/>
        <v>0</v>
      </c>
      <c r="AP69" s="809">
        <f t="shared" si="7"/>
        <v>0</v>
      </c>
      <c r="AQ69" s="809">
        <f t="shared" si="7"/>
        <v>0</v>
      </c>
      <c r="AR69" s="809">
        <f t="shared" si="7"/>
        <v>0</v>
      </c>
      <c r="AS69" s="809">
        <f t="shared" si="7"/>
        <v>0</v>
      </c>
      <c r="AT69" s="809">
        <f t="shared" si="7"/>
        <v>0</v>
      </c>
      <c r="AU69" s="809">
        <f t="shared" si="7"/>
        <v>0</v>
      </c>
      <c r="AV69" s="809">
        <f t="shared" si="7"/>
        <v>0</v>
      </c>
      <c r="AW69" s="809">
        <f t="shared" si="7"/>
        <v>0</v>
      </c>
      <c r="AX69" s="809">
        <f t="shared" si="7"/>
        <v>0</v>
      </c>
      <c r="AY69" s="809">
        <f t="shared" si="7"/>
        <v>0</v>
      </c>
    </row>
    <row r="70" spans="31:51" x14ac:dyDescent="0.25">
      <c r="AE70" s="819">
        <v>22</v>
      </c>
      <c r="AF70" s="809">
        <f t="shared" si="6"/>
        <v>0</v>
      </c>
      <c r="AG70" s="809">
        <f t="shared" si="7"/>
        <v>0</v>
      </c>
      <c r="AH70" s="809">
        <f t="shared" si="7"/>
        <v>0</v>
      </c>
      <c r="AI70" s="809">
        <f t="shared" si="7"/>
        <v>0</v>
      </c>
      <c r="AJ70" s="809">
        <f t="shared" si="7"/>
        <v>0</v>
      </c>
      <c r="AK70" s="809">
        <f t="shared" si="7"/>
        <v>0</v>
      </c>
      <c r="AL70" s="809">
        <f t="shared" si="7"/>
        <v>0</v>
      </c>
      <c r="AM70" s="809">
        <f t="shared" si="7"/>
        <v>0</v>
      </c>
      <c r="AN70" s="809">
        <f t="shared" si="7"/>
        <v>0</v>
      </c>
      <c r="AO70" s="809">
        <f t="shared" si="7"/>
        <v>0</v>
      </c>
      <c r="AP70" s="809">
        <f t="shared" si="7"/>
        <v>0</v>
      </c>
      <c r="AQ70" s="809">
        <f t="shared" si="7"/>
        <v>0</v>
      </c>
      <c r="AR70" s="809">
        <f t="shared" si="7"/>
        <v>0</v>
      </c>
      <c r="AS70" s="809">
        <f t="shared" si="7"/>
        <v>0</v>
      </c>
      <c r="AT70" s="809">
        <f t="shared" si="7"/>
        <v>0</v>
      </c>
      <c r="AU70" s="809">
        <f t="shared" si="7"/>
        <v>0</v>
      </c>
      <c r="AV70" s="809">
        <f t="shared" si="7"/>
        <v>0</v>
      </c>
      <c r="AW70" s="809">
        <f t="shared" si="7"/>
        <v>0</v>
      </c>
      <c r="AX70" s="809">
        <f t="shared" si="7"/>
        <v>0</v>
      </c>
      <c r="AY70" s="809">
        <f t="shared" si="7"/>
        <v>0</v>
      </c>
    </row>
    <row r="71" spans="31:51" x14ac:dyDescent="0.25">
      <c r="AE71" s="819">
        <v>21</v>
      </c>
      <c r="AF71" s="809">
        <f t="shared" si="6"/>
        <v>0</v>
      </c>
      <c r="AG71" s="809">
        <f t="shared" si="7"/>
        <v>0</v>
      </c>
      <c r="AH71" s="809">
        <f t="shared" si="7"/>
        <v>0</v>
      </c>
      <c r="AI71" s="809">
        <f t="shared" si="7"/>
        <v>0</v>
      </c>
      <c r="AJ71" s="809">
        <f t="shared" si="7"/>
        <v>0</v>
      </c>
      <c r="AK71" s="809">
        <f t="shared" si="7"/>
        <v>0</v>
      </c>
      <c r="AL71" s="809">
        <f t="shared" si="7"/>
        <v>0</v>
      </c>
      <c r="AM71" s="809">
        <f t="shared" si="7"/>
        <v>0</v>
      </c>
      <c r="AN71" s="809">
        <f t="shared" si="7"/>
        <v>0</v>
      </c>
      <c r="AO71" s="809">
        <f t="shared" si="7"/>
        <v>0</v>
      </c>
      <c r="AP71" s="809">
        <f t="shared" si="7"/>
        <v>0</v>
      </c>
      <c r="AQ71" s="809">
        <f t="shared" si="7"/>
        <v>0</v>
      </c>
      <c r="AR71" s="809">
        <f t="shared" si="7"/>
        <v>0</v>
      </c>
      <c r="AS71" s="809">
        <f t="shared" ref="AG71:AY85" si="8">COUNTIF(AS$21:AS$38,$AE71)</f>
        <v>0</v>
      </c>
      <c r="AT71" s="809">
        <f t="shared" si="8"/>
        <v>0</v>
      </c>
      <c r="AU71" s="809">
        <f t="shared" si="8"/>
        <v>0</v>
      </c>
      <c r="AV71" s="809">
        <f t="shared" si="8"/>
        <v>0</v>
      </c>
      <c r="AW71" s="809">
        <f t="shared" si="8"/>
        <v>0</v>
      </c>
      <c r="AX71" s="809">
        <f t="shared" si="8"/>
        <v>0</v>
      </c>
      <c r="AY71" s="809">
        <f t="shared" si="8"/>
        <v>0</v>
      </c>
    </row>
    <row r="72" spans="31:51" x14ac:dyDescent="0.25">
      <c r="AE72" s="819">
        <v>20</v>
      </c>
      <c r="AF72" s="809">
        <f t="shared" si="6"/>
        <v>0</v>
      </c>
      <c r="AG72" s="809">
        <f t="shared" si="8"/>
        <v>0</v>
      </c>
      <c r="AH72" s="809">
        <f t="shared" si="8"/>
        <v>0</v>
      </c>
      <c r="AI72" s="809">
        <f t="shared" si="8"/>
        <v>0</v>
      </c>
      <c r="AJ72" s="809">
        <f t="shared" si="8"/>
        <v>0</v>
      </c>
      <c r="AK72" s="809">
        <f t="shared" si="8"/>
        <v>0</v>
      </c>
      <c r="AL72" s="809">
        <f t="shared" si="8"/>
        <v>0</v>
      </c>
      <c r="AM72" s="809">
        <f t="shared" si="8"/>
        <v>0</v>
      </c>
      <c r="AN72" s="809">
        <f t="shared" si="8"/>
        <v>0</v>
      </c>
      <c r="AO72" s="809">
        <f t="shared" si="8"/>
        <v>0</v>
      </c>
      <c r="AP72" s="809">
        <f t="shared" si="8"/>
        <v>0</v>
      </c>
      <c r="AQ72" s="809">
        <f t="shared" si="8"/>
        <v>0</v>
      </c>
      <c r="AR72" s="809">
        <f t="shared" si="8"/>
        <v>0</v>
      </c>
      <c r="AS72" s="809">
        <f t="shared" si="8"/>
        <v>0</v>
      </c>
      <c r="AT72" s="809">
        <f t="shared" si="8"/>
        <v>0</v>
      </c>
      <c r="AU72" s="809">
        <f t="shared" si="8"/>
        <v>0</v>
      </c>
      <c r="AV72" s="809">
        <f t="shared" si="8"/>
        <v>0</v>
      </c>
      <c r="AW72" s="809">
        <f t="shared" si="8"/>
        <v>0</v>
      </c>
      <c r="AX72" s="809">
        <f t="shared" si="8"/>
        <v>0</v>
      </c>
      <c r="AY72" s="809">
        <f t="shared" si="8"/>
        <v>0</v>
      </c>
    </row>
    <row r="73" spans="31:51" x14ac:dyDescent="0.25">
      <c r="AE73" s="819">
        <v>19</v>
      </c>
      <c r="AF73" s="809">
        <f t="shared" si="6"/>
        <v>0</v>
      </c>
      <c r="AG73" s="809">
        <f t="shared" si="8"/>
        <v>0</v>
      </c>
      <c r="AH73" s="809">
        <f t="shared" si="8"/>
        <v>0</v>
      </c>
      <c r="AI73" s="809">
        <f t="shared" si="8"/>
        <v>0</v>
      </c>
      <c r="AJ73" s="809">
        <f t="shared" si="8"/>
        <v>0</v>
      </c>
      <c r="AK73" s="809">
        <f t="shared" si="8"/>
        <v>0</v>
      </c>
      <c r="AL73" s="809">
        <f t="shared" si="8"/>
        <v>0</v>
      </c>
      <c r="AM73" s="809">
        <f t="shared" si="8"/>
        <v>0</v>
      </c>
      <c r="AN73" s="809">
        <f t="shared" si="8"/>
        <v>0</v>
      </c>
      <c r="AO73" s="809">
        <f t="shared" si="8"/>
        <v>0</v>
      </c>
      <c r="AP73" s="809">
        <f t="shared" si="8"/>
        <v>0</v>
      </c>
      <c r="AQ73" s="809">
        <f t="shared" si="8"/>
        <v>0</v>
      </c>
      <c r="AR73" s="809">
        <f t="shared" si="8"/>
        <v>0</v>
      </c>
      <c r="AS73" s="809">
        <f t="shared" si="8"/>
        <v>0</v>
      </c>
      <c r="AT73" s="809">
        <f t="shared" si="8"/>
        <v>0</v>
      </c>
      <c r="AU73" s="809">
        <f t="shared" si="8"/>
        <v>0</v>
      </c>
      <c r="AV73" s="809">
        <f t="shared" si="8"/>
        <v>0</v>
      </c>
      <c r="AW73" s="809">
        <f t="shared" si="8"/>
        <v>0</v>
      </c>
      <c r="AX73" s="809">
        <f t="shared" si="8"/>
        <v>0</v>
      </c>
      <c r="AY73" s="809">
        <f t="shared" si="8"/>
        <v>0</v>
      </c>
    </row>
    <row r="74" spans="31:51" x14ac:dyDescent="0.25">
      <c r="AE74" s="819">
        <v>18</v>
      </c>
      <c r="AF74" s="809">
        <f t="shared" si="6"/>
        <v>0</v>
      </c>
      <c r="AG74" s="809">
        <f t="shared" si="8"/>
        <v>0</v>
      </c>
      <c r="AH74" s="809">
        <f t="shared" si="8"/>
        <v>0</v>
      </c>
      <c r="AI74" s="809">
        <f t="shared" si="8"/>
        <v>0</v>
      </c>
      <c r="AJ74" s="809">
        <f t="shared" si="8"/>
        <v>0</v>
      </c>
      <c r="AK74" s="809">
        <f t="shared" si="8"/>
        <v>0</v>
      </c>
      <c r="AL74" s="809">
        <f t="shared" si="8"/>
        <v>0</v>
      </c>
      <c r="AM74" s="809">
        <f t="shared" si="8"/>
        <v>0</v>
      </c>
      <c r="AN74" s="809">
        <f t="shared" si="8"/>
        <v>0</v>
      </c>
      <c r="AO74" s="809">
        <f t="shared" si="8"/>
        <v>0</v>
      </c>
      <c r="AP74" s="809">
        <f t="shared" si="8"/>
        <v>0</v>
      </c>
      <c r="AQ74" s="809">
        <f t="shared" si="8"/>
        <v>0</v>
      </c>
      <c r="AR74" s="809">
        <f t="shared" si="8"/>
        <v>0</v>
      </c>
      <c r="AS74" s="809">
        <f t="shared" si="8"/>
        <v>0</v>
      </c>
      <c r="AT74" s="809">
        <f t="shared" si="8"/>
        <v>0</v>
      </c>
      <c r="AU74" s="809">
        <f t="shared" si="8"/>
        <v>0</v>
      </c>
      <c r="AV74" s="809">
        <f t="shared" si="8"/>
        <v>0</v>
      </c>
      <c r="AW74" s="809">
        <f t="shared" si="8"/>
        <v>0</v>
      </c>
      <c r="AX74" s="809">
        <f t="shared" si="8"/>
        <v>0</v>
      </c>
      <c r="AY74" s="809">
        <f t="shared" si="8"/>
        <v>0</v>
      </c>
    </row>
    <row r="75" spans="31:51" x14ac:dyDescent="0.25">
      <c r="AE75" s="819">
        <v>17</v>
      </c>
      <c r="AF75" s="809">
        <f t="shared" si="6"/>
        <v>0</v>
      </c>
      <c r="AG75" s="809">
        <f t="shared" si="8"/>
        <v>0</v>
      </c>
      <c r="AH75" s="809">
        <f t="shared" si="8"/>
        <v>0</v>
      </c>
      <c r="AI75" s="809">
        <f t="shared" si="8"/>
        <v>0</v>
      </c>
      <c r="AJ75" s="809">
        <f t="shared" si="8"/>
        <v>0</v>
      </c>
      <c r="AK75" s="809">
        <f t="shared" si="8"/>
        <v>0</v>
      </c>
      <c r="AL75" s="809">
        <f t="shared" si="8"/>
        <v>0</v>
      </c>
      <c r="AM75" s="809">
        <f t="shared" si="8"/>
        <v>0</v>
      </c>
      <c r="AN75" s="809">
        <f t="shared" si="8"/>
        <v>0</v>
      </c>
      <c r="AO75" s="809">
        <f t="shared" si="8"/>
        <v>0</v>
      </c>
      <c r="AP75" s="809">
        <f t="shared" si="8"/>
        <v>0</v>
      </c>
      <c r="AQ75" s="809">
        <f t="shared" si="8"/>
        <v>0</v>
      </c>
      <c r="AR75" s="809">
        <f t="shared" si="8"/>
        <v>0</v>
      </c>
      <c r="AS75" s="809">
        <f t="shared" si="8"/>
        <v>0</v>
      </c>
      <c r="AT75" s="809">
        <f t="shared" si="8"/>
        <v>0</v>
      </c>
      <c r="AU75" s="809">
        <f t="shared" si="8"/>
        <v>0</v>
      </c>
      <c r="AV75" s="809">
        <f t="shared" si="8"/>
        <v>0</v>
      </c>
      <c r="AW75" s="809">
        <f t="shared" si="8"/>
        <v>0</v>
      </c>
      <c r="AX75" s="809">
        <f t="shared" si="8"/>
        <v>0</v>
      </c>
      <c r="AY75" s="809">
        <f t="shared" si="8"/>
        <v>0</v>
      </c>
    </row>
    <row r="76" spans="31:51" x14ac:dyDescent="0.25">
      <c r="AE76" s="819">
        <v>16</v>
      </c>
      <c r="AF76" s="809">
        <f t="shared" si="6"/>
        <v>0</v>
      </c>
      <c r="AG76" s="809">
        <f t="shared" si="8"/>
        <v>0</v>
      </c>
      <c r="AH76" s="809">
        <f t="shared" si="8"/>
        <v>0</v>
      </c>
      <c r="AI76" s="809">
        <f t="shared" si="8"/>
        <v>0</v>
      </c>
      <c r="AJ76" s="809">
        <f t="shared" si="8"/>
        <v>0</v>
      </c>
      <c r="AK76" s="809">
        <f t="shared" si="8"/>
        <v>0</v>
      </c>
      <c r="AL76" s="809">
        <f t="shared" si="8"/>
        <v>0</v>
      </c>
      <c r="AM76" s="809">
        <f t="shared" si="8"/>
        <v>0</v>
      </c>
      <c r="AN76" s="809">
        <f t="shared" si="8"/>
        <v>0</v>
      </c>
      <c r="AO76" s="809">
        <f t="shared" si="8"/>
        <v>0</v>
      </c>
      <c r="AP76" s="809">
        <f t="shared" si="8"/>
        <v>0</v>
      </c>
      <c r="AQ76" s="809">
        <f t="shared" si="8"/>
        <v>0</v>
      </c>
      <c r="AR76" s="809">
        <f t="shared" si="8"/>
        <v>0</v>
      </c>
      <c r="AS76" s="809">
        <f t="shared" si="8"/>
        <v>0</v>
      </c>
      <c r="AT76" s="809">
        <f t="shared" si="8"/>
        <v>0</v>
      </c>
      <c r="AU76" s="809">
        <f t="shared" si="8"/>
        <v>0</v>
      </c>
      <c r="AV76" s="809">
        <f t="shared" si="8"/>
        <v>0</v>
      </c>
      <c r="AW76" s="809">
        <f t="shared" si="8"/>
        <v>0</v>
      </c>
      <c r="AX76" s="809">
        <f t="shared" si="8"/>
        <v>0</v>
      </c>
      <c r="AY76" s="809">
        <f t="shared" si="8"/>
        <v>0</v>
      </c>
    </row>
    <row r="77" spans="31:51" x14ac:dyDescent="0.25">
      <c r="AE77" s="819">
        <v>15</v>
      </c>
      <c r="AF77" s="809">
        <f t="shared" si="6"/>
        <v>0</v>
      </c>
      <c r="AG77" s="809">
        <f t="shared" si="8"/>
        <v>0</v>
      </c>
      <c r="AH77" s="809">
        <f t="shared" si="8"/>
        <v>0</v>
      </c>
      <c r="AI77" s="809">
        <f t="shared" si="8"/>
        <v>0</v>
      </c>
      <c r="AJ77" s="809">
        <f t="shared" si="8"/>
        <v>0</v>
      </c>
      <c r="AK77" s="809">
        <f t="shared" si="8"/>
        <v>0</v>
      </c>
      <c r="AL77" s="809">
        <f t="shared" si="8"/>
        <v>0</v>
      </c>
      <c r="AM77" s="809">
        <f t="shared" si="8"/>
        <v>0</v>
      </c>
      <c r="AN77" s="809">
        <f t="shared" si="8"/>
        <v>0</v>
      </c>
      <c r="AO77" s="809">
        <f t="shared" si="8"/>
        <v>0</v>
      </c>
      <c r="AP77" s="809">
        <f t="shared" si="8"/>
        <v>0</v>
      </c>
      <c r="AQ77" s="809">
        <f t="shared" si="8"/>
        <v>0</v>
      </c>
      <c r="AR77" s="809">
        <f t="shared" si="8"/>
        <v>0</v>
      </c>
      <c r="AS77" s="809">
        <f t="shared" si="8"/>
        <v>0</v>
      </c>
      <c r="AT77" s="809">
        <f t="shared" si="8"/>
        <v>0</v>
      </c>
      <c r="AU77" s="809">
        <f t="shared" si="8"/>
        <v>0</v>
      </c>
      <c r="AV77" s="809">
        <f t="shared" si="8"/>
        <v>0</v>
      </c>
      <c r="AW77" s="809">
        <f t="shared" si="8"/>
        <v>0</v>
      </c>
      <c r="AX77" s="809">
        <f t="shared" si="8"/>
        <v>0</v>
      </c>
      <c r="AY77" s="809">
        <f t="shared" si="8"/>
        <v>0</v>
      </c>
    </row>
    <row r="78" spans="31:51" x14ac:dyDescent="0.25">
      <c r="AE78" s="819">
        <v>14</v>
      </c>
      <c r="AF78" s="809">
        <f t="shared" si="6"/>
        <v>0</v>
      </c>
      <c r="AG78" s="809">
        <f t="shared" si="8"/>
        <v>0</v>
      </c>
      <c r="AH78" s="809">
        <f t="shared" si="8"/>
        <v>0</v>
      </c>
      <c r="AI78" s="809">
        <f t="shared" si="8"/>
        <v>0</v>
      </c>
      <c r="AJ78" s="809">
        <f t="shared" si="8"/>
        <v>0</v>
      </c>
      <c r="AK78" s="809">
        <f t="shared" si="8"/>
        <v>0</v>
      </c>
      <c r="AL78" s="809">
        <f t="shared" si="8"/>
        <v>0</v>
      </c>
      <c r="AM78" s="809">
        <f t="shared" si="8"/>
        <v>0</v>
      </c>
      <c r="AN78" s="809">
        <f t="shared" si="8"/>
        <v>0</v>
      </c>
      <c r="AO78" s="809">
        <f t="shared" si="8"/>
        <v>0</v>
      </c>
      <c r="AP78" s="809">
        <f t="shared" si="8"/>
        <v>0</v>
      </c>
      <c r="AQ78" s="809">
        <f t="shared" si="8"/>
        <v>0</v>
      </c>
      <c r="AR78" s="809">
        <f t="shared" si="8"/>
        <v>0</v>
      </c>
      <c r="AS78" s="809">
        <f t="shared" si="8"/>
        <v>0</v>
      </c>
      <c r="AT78" s="809">
        <f t="shared" si="8"/>
        <v>0</v>
      </c>
      <c r="AU78" s="809">
        <f t="shared" si="8"/>
        <v>0</v>
      </c>
      <c r="AV78" s="809">
        <f t="shared" si="8"/>
        <v>0</v>
      </c>
      <c r="AW78" s="809">
        <f t="shared" si="8"/>
        <v>0</v>
      </c>
      <c r="AX78" s="809">
        <f t="shared" si="8"/>
        <v>0</v>
      </c>
      <c r="AY78" s="809">
        <f t="shared" si="8"/>
        <v>0</v>
      </c>
    </row>
    <row r="79" spans="31:51" x14ac:dyDescent="0.25">
      <c r="AE79" s="819">
        <v>13</v>
      </c>
      <c r="AF79" s="809">
        <f t="shared" si="6"/>
        <v>0</v>
      </c>
      <c r="AG79" s="809">
        <f t="shared" si="8"/>
        <v>0</v>
      </c>
      <c r="AH79" s="809">
        <f t="shared" si="8"/>
        <v>0</v>
      </c>
      <c r="AI79" s="809">
        <f t="shared" si="8"/>
        <v>0</v>
      </c>
      <c r="AJ79" s="809">
        <f t="shared" si="8"/>
        <v>0</v>
      </c>
      <c r="AK79" s="809">
        <f t="shared" si="8"/>
        <v>0</v>
      </c>
      <c r="AL79" s="809">
        <f t="shared" si="8"/>
        <v>0</v>
      </c>
      <c r="AM79" s="809">
        <f t="shared" si="8"/>
        <v>0</v>
      </c>
      <c r="AN79" s="809">
        <f t="shared" si="8"/>
        <v>0</v>
      </c>
      <c r="AO79" s="809">
        <f t="shared" si="8"/>
        <v>0</v>
      </c>
      <c r="AP79" s="809">
        <f t="shared" si="8"/>
        <v>0</v>
      </c>
      <c r="AQ79" s="809">
        <f t="shared" si="8"/>
        <v>0</v>
      </c>
      <c r="AR79" s="809">
        <f t="shared" si="8"/>
        <v>0</v>
      </c>
      <c r="AS79" s="809">
        <f t="shared" si="8"/>
        <v>0</v>
      </c>
      <c r="AT79" s="809">
        <f t="shared" si="8"/>
        <v>0</v>
      </c>
      <c r="AU79" s="809">
        <f t="shared" si="8"/>
        <v>0</v>
      </c>
      <c r="AV79" s="809">
        <f t="shared" si="8"/>
        <v>0</v>
      </c>
      <c r="AW79" s="809">
        <f t="shared" si="8"/>
        <v>0</v>
      </c>
      <c r="AX79" s="809">
        <f t="shared" si="8"/>
        <v>0</v>
      </c>
      <c r="AY79" s="809">
        <f t="shared" si="8"/>
        <v>0</v>
      </c>
    </row>
    <row r="80" spans="31:51" x14ac:dyDescent="0.25">
      <c r="AE80" s="819">
        <v>12</v>
      </c>
      <c r="AF80" s="809">
        <f t="shared" si="6"/>
        <v>0</v>
      </c>
      <c r="AG80" s="809">
        <f t="shared" si="8"/>
        <v>0</v>
      </c>
      <c r="AH80" s="809">
        <f t="shared" si="8"/>
        <v>0</v>
      </c>
      <c r="AI80" s="809">
        <f t="shared" si="8"/>
        <v>0</v>
      </c>
      <c r="AJ80" s="809">
        <f t="shared" si="8"/>
        <v>0</v>
      </c>
      <c r="AK80" s="809">
        <f t="shared" si="8"/>
        <v>0</v>
      </c>
      <c r="AL80" s="809">
        <f t="shared" si="8"/>
        <v>0</v>
      </c>
      <c r="AM80" s="809">
        <f t="shared" si="8"/>
        <v>0</v>
      </c>
      <c r="AN80" s="809">
        <f t="shared" si="8"/>
        <v>0</v>
      </c>
      <c r="AO80" s="809">
        <f t="shared" si="8"/>
        <v>0</v>
      </c>
      <c r="AP80" s="809">
        <f t="shared" si="8"/>
        <v>0</v>
      </c>
      <c r="AQ80" s="809">
        <f t="shared" si="8"/>
        <v>0</v>
      </c>
      <c r="AR80" s="809">
        <f t="shared" si="8"/>
        <v>0</v>
      </c>
      <c r="AS80" s="809">
        <f t="shared" si="8"/>
        <v>0</v>
      </c>
      <c r="AT80" s="809">
        <f t="shared" si="8"/>
        <v>0</v>
      </c>
      <c r="AU80" s="809">
        <f t="shared" si="8"/>
        <v>0</v>
      </c>
      <c r="AV80" s="809">
        <f t="shared" si="8"/>
        <v>0</v>
      </c>
      <c r="AW80" s="809">
        <f t="shared" si="8"/>
        <v>0</v>
      </c>
      <c r="AX80" s="809">
        <f t="shared" si="8"/>
        <v>0</v>
      </c>
      <c r="AY80" s="809">
        <f t="shared" si="8"/>
        <v>0</v>
      </c>
    </row>
    <row r="81" spans="31:52" x14ac:dyDescent="0.25">
      <c r="AE81" s="819">
        <v>11</v>
      </c>
      <c r="AF81" s="809">
        <f t="shared" si="6"/>
        <v>0</v>
      </c>
      <c r="AG81" s="809">
        <f t="shared" si="8"/>
        <v>0</v>
      </c>
      <c r="AH81" s="809">
        <f t="shared" si="8"/>
        <v>0</v>
      </c>
      <c r="AI81" s="809">
        <f t="shared" si="8"/>
        <v>0</v>
      </c>
      <c r="AJ81" s="809">
        <f t="shared" si="8"/>
        <v>0</v>
      </c>
      <c r="AK81" s="809">
        <f t="shared" si="8"/>
        <v>0</v>
      </c>
      <c r="AL81" s="809">
        <f t="shared" si="8"/>
        <v>0</v>
      </c>
      <c r="AM81" s="809">
        <f t="shared" si="8"/>
        <v>0</v>
      </c>
      <c r="AN81" s="809">
        <f t="shared" si="8"/>
        <v>0</v>
      </c>
      <c r="AO81" s="809">
        <f t="shared" si="8"/>
        <v>0</v>
      </c>
      <c r="AP81" s="809">
        <f t="shared" si="8"/>
        <v>0</v>
      </c>
      <c r="AQ81" s="809">
        <f t="shared" si="8"/>
        <v>0</v>
      </c>
      <c r="AR81" s="809">
        <f t="shared" si="8"/>
        <v>0</v>
      </c>
      <c r="AS81" s="809">
        <f t="shared" si="8"/>
        <v>0</v>
      </c>
      <c r="AT81" s="809">
        <f t="shared" si="8"/>
        <v>0</v>
      </c>
      <c r="AU81" s="809">
        <f t="shared" si="8"/>
        <v>0</v>
      </c>
      <c r="AV81" s="809">
        <f t="shared" si="8"/>
        <v>0</v>
      </c>
      <c r="AW81" s="809">
        <f t="shared" si="8"/>
        <v>0</v>
      </c>
      <c r="AX81" s="809">
        <f t="shared" si="8"/>
        <v>0</v>
      </c>
      <c r="AY81" s="809">
        <f t="shared" si="8"/>
        <v>0</v>
      </c>
    </row>
    <row r="82" spans="31:52" x14ac:dyDescent="0.25">
      <c r="AE82" s="819">
        <v>10</v>
      </c>
      <c r="AF82" s="809">
        <f t="shared" si="6"/>
        <v>0</v>
      </c>
      <c r="AG82" s="809">
        <f t="shared" si="8"/>
        <v>0</v>
      </c>
      <c r="AH82" s="809">
        <f t="shared" si="8"/>
        <v>0</v>
      </c>
      <c r="AI82" s="809">
        <f t="shared" si="8"/>
        <v>0</v>
      </c>
      <c r="AJ82" s="809">
        <f t="shared" si="8"/>
        <v>0</v>
      </c>
      <c r="AK82" s="809">
        <f t="shared" si="8"/>
        <v>0</v>
      </c>
      <c r="AL82" s="809">
        <f t="shared" si="8"/>
        <v>0</v>
      </c>
      <c r="AM82" s="809">
        <f t="shared" si="8"/>
        <v>0</v>
      </c>
      <c r="AN82" s="809">
        <f t="shared" si="8"/>
        <v>0</v>
      </c>
      <c r="AO82" s="809">
        <f t="shared" si="8"/>
        <v>0</v>
      </c>
      <c r="AP82" s="809">
        <f t="shared" si="8"/>
        <v>0</v>
      </c>
      <c r="AQ82" s="809">
        <f t="shared" si="8"/>
        <v>0</v>
      </c>
      <c r="AR82" s="809">
        <f t="shared" si="8"/>
        <v>0</v>
      </c>
      <c r="AS82" s="809">
        <f t="shared" si="8"/>
        <v>0</v>
      </c>
      <c r="AT82" s="809">
        <f t="shared" si="8"/>
        <v>0</v>
      </c>
      <c r="AU82" s="809">
        <f t="shared" si="8"/>
        <v>0</v>
      </c>
      <c r="AV82" s="809">
        <f t="shared" si="8"/>
        <v>0</v>
      </c>
      <c r="AW82" s="809">
        <f t="shared" si="8"/>
        <v>0</v>
      </c>
      <c r="AX82" s="809">
        <f t="shared" si="8"/>
        <v>0</v>
      </c>
      <c r="AY82" s="809">
        <f t="shared" si="8"/>
        <v>0</v>
      </c>
    </row>
    <row r="83" spans="31:52" x14ac:dyDescent="0.25">
      <c r="AE83" s="819">
        <v>9</v>
      </c>
      <c r="AF83" s="809">
        <f t="shared" si="6"/>
        <v>0</v>
      </c>
      <c r="AG83" s="809">
        <f t="shared" si="8"/>
        <v>0</v>
      </c>
      <c r="AH83" s="809">
        <f t="shared" si="8"/>
        <v>0</v>
      </c>
      <c r="AI83" s="809">
        <f t="shared" si="8"/>
        <v>0</v>
      </c>
      <c r="AJ83" s="809">
        <f t="shared" si="8"/>
        <v>0</v>
      </c>
      <c r="AK83" s="809">
        <f t="shared" si="8"/>
        <v>0</v>
      </c>
      <c r="AL83" s="809">
        <f t="shared" si="8"/>
        <v>0</v>
      </c>
      <c r="AM83" s="809">
        <f t="shared" si="8"/>
        <v>0</v>
      </c>
      <c r="AN83" s="809">
        <f t="shared" si="8"/>
        <v>0</v>
      </c>
      <c r="AO83" s="809">
        <f t="shared" si="8"/>
        <v>0</v>
      </c>
      <c r="AP83" s="809">
        <f t="shared" si="8"/>
        <v>0</v>
      </c>
      <c r="AQ83" s="809">
        <f t="shared" si="8"/>
        <v>0</v>
      </c>
      <c r="AR83" s="809">
        <f t="shared" si="8"/>
        <v>0</v>
      </c>
      <c r="AS83" s="809">
        <f t="shared" si="8"/>
        <v>0</v>
      </c>
      <c r="AT83" s="809">
        <f t="shared" si="8"/>
        <v>0</v>
      </c>
      <c r="AU83" s="809">
        <f t="shared" si="8"/>
        <v>0</v>
      </c>
      <c r="AV83" s="809">
        <f t="shared" si="8"/>
        <v>0</v>
      </c>
      <c r="AW83" s="809">
        <f t="shared" si="8"/>
        <v>0</v>
      </c>
      <c r="AX83" s="809">
        <f t="shared" si="8"/>
        <v>0</v>
      </c>
      <c r="AY83" s="809">
        <f t="shared" si="8"/>
        <v>0</v>
      </c>
    </row>
    <row r="84" spans="31:52" x14ac:dyDescent="0.25">
      <c r="AE84" s="819">
        <v>8</v>
      </c>
      <c r="AF84" s="809">
        <f t="shared" si="6"/>
        <v>0</v>
      </c>
      <c r="AG84" s="809">
        <f t="shared" si="8"/>
        <v>0</v>
      </c>
      <c r="AH84" s="809">
        <f t="shared" si="8"/>
        <v>0</v>
      </c>
      <c r="AI84" s="809">
        <f t="shared" si="8"/>
        <v>0</v>
      </c>
      <c r="AJ84" s="809">
        <f t="shared" si="8"/>
        <v>0</v>
      </c>
      <c r="AK84" s="809">
        <f t="shared" si="8"/>
        <v>0</v>
      </c>
      <c r="AL84" s="809">
        <f t="shared" si="8"/>
        <v>0</v>
      </c>
      <c r="AM84" s="809">
        <f t="shared" si="8"/>
        <v>0</v>
      </c>
      <c r="AN84" s="809">
        <f t="shared" si="8"/>
        <v>0</v>
      </c>
      <c r="AO84" s="809">
        <f t="shared" si="8"/>
        <v>0</v>
      </c>
      <c r="AP84" s="809">
        <f t="shared" si="8"/>
        <v>0</v>
      </c>
      <c r="AQ84" s="809">
        <f t="shared" si="8"/>
        <v>0</v>
      </c>
      <c r="AR84" s="809">
        <f t="shared" si="8"/>
        <v>0</v>
      </c>
      <c r="AS84" s="809">
        <f t="shared" si="8"/>
        <v>0</v>
      </c>
      <c r="AT84" s="809">
        <f t="shared" si="8"/>
        <v>0</v>
      </c>
      <c r="AU84" s="809">
        <f t="shared" si="8"/>
        <v>0</v>
      </c>
      <c r="AV84" s="809">
        <f t="shared" si="8"/>
        <v>0</v>
      </c>
      <c r="AW84" s="809">
        <f t="shared" si="8"/>
        <v>0</v>
      </c>
      <c r="AX84" s="809">
        <f t="shared" si="8"/>
        <v>0</v>
      </c>
      <c r="AY84" s="809">
        <f t="shared" si="8"/>
        <v>0</v>
      </c>
    </row>
    <row r="85" spans="31:52" x14ac:dyDescent="0.25">
      <c r="AE85" s="819">
        <v>7</v>
      </c>
      <c r="AF85" s="809">
        <f t="shared" si="6"/>
        <v>0</v>
      </c>
      <c r="AG85" s="809">
        <f t="shared" si="8"/>
        <v>0</v>
      </c>
      <c r="AH85" s="809">
        <f t="shared" ref="AG85:AY91" si="9">COUNTIF(AH$21:AH$38,$AE85)</f>
        <v>0</v>
      </c>
      <c r="AI85" s="809">
        <f t="shared" si="9"/>
        <v>0</v>
      </c>
      <c r="AJ85" s="809">
        <f t="shared" si="9"/>
        <v>0</v>
      </c>
      <c r="AK85" s="809">
        <f t="shared" si="9"/>
        <v>0</v>
      </c>
      <c r="AL85" s="809">
        <f t="shared" si="9"/>
        <v>0</v>
      </c>
      <c r="AM85" s="809">
        <f t="shared" si="9"/>
        <v>0</v>
      </c>
      <c r="AN85" s="809">
        <f t="shared" si="9"/>
        <v>0</v>
      </c>
      <c r="AO85" s="809">
        <f t="shared" si="9"/>
        <v>0</v>
      </c>
      <c r="AP85" s="809">
        <f t="shared" si="9"/>
        <v>0</v>
      </c>
      <c r="AQ85" s="809">
        <f t="shared" si="9"/>
        <v>0</v>
      </c>
      <c r="AR85" s="809">
        <f t="shared" si="9"/>
        <v>0</v>
      </c>
      <c r="AS85" s="809">
        <f t="shared" si="9"/>
        <v>0</v>
      </c>
      <c r="AT85" s="809">
        <f t="shared" si="9"/>
        <v>0</v>
      </c>
      <c r="AU85" s="809">
        <f t="shared" si="9"/>
        <v>0</v>
      </c>
      <c r="AV85" s="809">
        <f t="shared" si="9"/>
        <v>0</v>
      </c>
      <c r="AW85" s="809">
        <f t="shared" si="9"/>
        <v>0</v>
      </c>
      <c r="AX85" s="809">
        <f t="shared" si="9"/>
        <v>0</v>
      </c>
      <c r="AY85" s="809">
        <f t="shared" si="9"/>
        <v>0</v>
      </c>
    </row>
    <row r="86" spans="31:52" x14ac:dyDescent="0.25">
      <c r="AE86" s="819">
        <v>6</v>
      </c>
      <c r="AF86" s="809">
        <f t="shared" si="6"/>
        <v>0</v>
      </c>
      <c r="AG86" s="809">
        <f t="shared" si="9"/>
        <v>0</v>
      </c>
      <c r="AH86" s="809">
        <f t="shared" si="9"/>
        <v>0</v>
      </c>
      <c r="AI86" s="809">
        <f t="shared" si="9"/>
        <v>0</v>
      </c>
      <c r="AJ86" s="809">
        <f t="shared" si="9"/>
        <v>0</v>
      </c>
      <c r="AK86" s="809">
        <f t="shared" si="9"/>
        <v>0</v>
      </c>
      <c r="AL86" s="809">
        <f t="shared" si="9"/>
        <v>0</v>
      </c>
      <c r="AM86" s="809">
        <f t="shared" si="9"/>
        <v>0</v>
      </c>
      <c r="AN86" s="809">
        <f t="shared" si="9"/>
        <v>0</v>
      </c>
      <c r="AO86" s="809">
        <f t="shared" si="9"/>
        <v>0</v>
      </c>
      <c r="AP86" s="809">
        <f t="shared" si="9"/>
        <v>0</v>
      </c>
      <c r="AQ86" s="809">
        <f t="shared" si="9"/>
        <v>0</v>
      </c>
      <c r="AR86" s="809">
        <f t="shared" si="9"/>
        <v>0</v>
      </c>
      <c r="AS86" s="809">
        <f t="shared" si="9"/>
        <v>0</v>
      </c>
      <c r="AT86" s="809">
        <f t="shared" si="9"/>
        <v>0</v>
      </c>
      <c r="AU86" s="809">
        <f t="shared" si="9"/>
        <v>0</v>
      </c>
      <c r="AV86" s="809">
        <f t="shared" si="9"/>
        <v>0</v>
      </c>
      <c r="AW86" s="809">
        <f t="shared" si="9"/>
        <v>0</v>
      </c>
      <c r="AX86" s="809">
        <f t="shared" si="9"/>
        <v>0</v>
      </c>
      <c r="AY86" s="809">
        <f t="shared" si="9"/>
        <v>0</v>
      </c>
    </row>
    <row r="87" spans="31:52" x14ac:dyDescent="0.25">
      <c r="AE87" s="819">
        <v>5</v>
      </c>
      <c r="AF87" s="809">
        <f t="shared" si="6"/>
        <v>0</v>
      </c>
      <c r="AG87" s="809">
        <f t="shared" si="9"/>
        <v>0</v>
      </c>
      <c r="AH87" s="809">
        <f t="shared" si="9"/>
        <v>0</v>
      </c>
      <c r="AI87" s="809">
        <f t="shared" si="9"/>
        <v>0</v>
      </c>
      <c r="AJ87" s="809">
        <f t="shared" si="9"/>
        <v>0</v>
      </c>
      <c r="AK87" s="809">
        <f t="shared" si="9"/>
        <v>0</v>
      </c>
      <c r="AL87" s="809">
        <f t="shared" si="9"/>
        <v>0</v>
      </c>
      <c r="AM87" s="809">
        <f t="shared" si="9"/>
        <v>0</v>
      </c>
      <c r="AN87" s="809">
        <f t="shared" si="9"/>
        <v>0</v>
      </c>
      <c r="AO87" s="809">
        <f t="shared" si="9"/>
        <v>0</v>
      </c>
      <c r="AP87" s="809">
        <f t="shared" si="9"/>
        <v>0</v>
      </c>
      <c r="AQ87" s="809">
        <f t="shared" si="9"/>
        <v>0</v>
      </c>
      <c r="AR87" s="809">
        <f t="shared" si="9"/>
        <v>0</v>
      </c>
      <c r="AS87" s="809">
        <f t="shared" si="9"/>
        <v>0</v>
      </c>
      <c r="AT87" s="809">
        <f t="shared" si="9"/>
        <v>0</v>
      </c>
      <c r="AU87" s="809">
        <f t="shared" si="9"/>
        <v>0</v>
      </c>
      <c r="AV87" s="809">
        <f t="shared" si="9"/>
        <v>0</v>
      </c>
      <c r="AW87" s="809">
        <f t="shared" si="9"/>
        <v>0</v>
      </c>
      <c r="AX87" s="809">
        <f t="shared" si="9"/>
        <v>0</v>
      </c>
      <c r="AY87" s="809">
        <f t="shared" si="9"/>
        <v>0</v>
      </c>
    </row>
    <row r="88" spans="31:52" x14ac:dyDescent="0.25">
      <c r="AE88" s="819">
        <v>4</v>
      </c>
      <c r="AF88" s="809">
        <f t="shared" si="6"/>
        <v>0</v>
      </c>
      <c r="AG88" s="809">
        <f t="shared" si="9"/>
        <v>0</v>
      </c>
      <c r="AH88" s="809">
        <f t="shared" si="9"/>
        <v>0</v>
      </c>
      <c r="AI88" s="809">
        <f t="shared" si="9"/>
        <v>0</v>
      </c>
      <c r="AJ88" s="809">
        <f t="shared" si="9"/>
        <v>0</v>
      </c>
      <c r="AK88" s="809">
        <f t="shared" si="9"/>
        <v>0</v>
      </c>
      <c r="AL88" s="809">
        <f t="shared" si="9"/>
        <v>0</v>
      </c>
      <c r="AM88" s="809">
        <f t="shared" si="9"/>
        <v>0</v>
      </c>
      <c r="AN88" s="809">
        <f t="shared" si="9"/>
        <v>0</v>
      </c>
      <c r="AO88" s="809">
        <f t="shared" si="9"/>
        <v>0</v>
      </c>
      <c r="AP88" s="809">
        <f t="shared" si="9"/>
        <v>0</v>
      </c>
      <c r="AQ88" s="809">
        <f t="shared" si="9"/>
        <v>0</v>
      </c>
      <c r="AR88" s="809">
        <f t="shared" si="9"/>
        <v>0</v>
      </c>
      <c r="AS88" s="809">
        <f t="shared" si="9"/>
        <v>0</v>
      </c>
      <c r="AT88" s="809">
        <f t="shared" si="9"/>
        <v>0</v>
      </c>
      <c r="AU88" s="809">
        <f t="shared" si="9"/>
        <v>0</v>
      </c>
      <c r="AV88" s="809">
        <f t="shared" si="9"/>
        <v>0</v>
      </c>
      <c r="AW88" s="809">
        <f t="shared" si="9"/>
        <v>0</v>
      </c>
      <c r="AX88" s="809">
        <f t="shared" si="9"/>
        <v>0</v>
      </c>
      <c r="AY88" s="809">
        <f t="shared" si="9"/>
        <v>0</v>
      </c>
    </row>
    <row r="89" spans="31:52" x14ac:dyDescent="0.25">
      <c r="AE89" s="819">
        <v>3</v>
      </c>
      <c r="AF89" s="809">
        <f t="shared" si="6"/>
        <v>0</v>
      </c>
      <c r="AG89" s="809">
        <f t="shared" si="9"/>
        <v>0</v>
      </c>
      <c r="AH89" s="809">
        <f t="shared" si="9"/>
        <v>0</v>
      </c>
      <c r="AI89" s="809">
        <f t="shared" si="9"/>
        <v>0</v>
      </c>
      <c r="AJ89" s="809">
        <f t="shared" si="9"/>
        <v>0</v>
      </c>
      <c r="AK89" s="809">
        <f t="shared" si="9"/>
        <v>0</v>
      </c>
      <c r="AL89" s="809">
        <f t="shared" si="9"/>
        <v>0</v>
      </c>
      <c r="AM89" s="809">
        <f t="shared" si="9"/>
        <v>0</v>
      </c>
      <c r="AN89" s="809">
        <f t="shared" si="9"/>
        <v>0</v>
      </c>
      <c r="AO89" s="809">
        <f t="shared" si="9"/>
        <v>0</v>
      </c>
      <c r="AP89" s="809">
        <f t="shared" si="9"/>
        <v>0</v>
      </c>
      <c r="AQ89" s="809">
        <f t="shared" si="9"/>
        <v>0</v>
      </c>
      <c r="AR89" s="809">
        <f t="shared" si="9"/>
        <v>0</v>
      </c>
      <c r="AS89" s="809">
        <f t="shared" si="9"/>
        <v>0</v>
      </c>
      <c r="AT89" s="809">
        <f t="shared" si="9"/>
        <v>0</v>
      </c>
      <c r="AU89" s="809">
        <f t="shared" si="9"/>
        <v>0</v>
      </c>
      <c r="AV89" s="809">
        <f t="shared" si="9"/>
        <v>0</v>
      </c>
      <c r="AW89" s="809">
        <f t="shared" si="9"/>
        <v>0</v>
      </c>
      <c r="AX89" s="809">
        <f t="shared" si="9"/>
        <v>0</v>
      </c>
      <c r="AY89" s="809">
        <f t="shared" si="9"/>
        <v>0</v>
      </c>
    </row>
    <row r="90" spans="31:52" x14ac:dyDescent="0.25">
      <c r="AE90" s="819">
        <v>2</v>
      </c>
      <c r="AF90" s="809">
        <f t="shared" si="6"/>
        <v>0</v>
      </c>
      <c r="AG90" s="809">
        <f t="shared" si="9"/>
        <v>0</v>
      </c>
      <c r="AH90" s="809">
        <f t="shared" si="9"/>
        <v>0</v>
      </c>
      <c r="AI90" s="809">
        <f t="shared" si="9"/>
        <v>0</v>
      </c>
      <c r="AJ90" s="809">
        <f t="shared" si="9"/>
        <v>0</v>
      </c>
      <c r="AK90" s="809">
        <f t="shared" si="9"/>
        <v>0</v>
      </c>
      <c r="AL90" s="809">
        <f t="shared" si="9"/>
        <v>0</v>
      </c>
      <c r="AM90" s="809">
        <f t="shared" si="9"/>
        <v>0</v>
      </c>
      <c r="AN90" s="809">
        <f t="shared" si="9"/>
        <v>0</v>
      </c>
      <c r="AO90" s="809">
        <f t="shared" si="9"/>
        <v>0</v>
      </c>
      <c r="AP90" s="809">
        <f t="shared" si="9"/>
        <v>0</v>
      </c>
      <c r="AQ90" s="809">
        <f t="shared" si="9"/>
        <v>0</v>
      </c>
      <c r="AR90" s="809">
        <f t="shared" si="9"/>
        <v>0</v>
      </c>
      <c r="AS90" s="809">
        <f t="shared" si="9"/>
        <v>0</v>
      </c>
      <c r="AT90" s="809">
        <f t="shared" si="9"/>
        <v>0</v>
      </c>
      <c r="AU90" s="809">
        <f t="shared" si="9"/>
        <v>0</v>
      </c>
      <c r="AV90" s="809">
        <f t="shared" si="9"/>
        <v>0</v>
      </c>
      <c r="AW90" s="809">
        <f t="shared" si="9"/>
        <v>0</v>
      </c>
      <c r="AX90" s="809">
        <f t="shared" si="9"/>
        <v>0</v>
      </c>
      <c r="AY90" s="809">
        <f t="shared" si="9"/>
        <v>0</v>
      </c>
    </row>
    <row r="91" spans="31:52" x14ac:dyDescent="0.25">
      <c r="AE91" s="819">
        <v>1</v>
      </c>
      <c r="AF91" s="809">
        <f t="shared" si="6"/>
        <v>0</v>
      </c>
      <c r="AG91" s="809">
        <f t="shared" si="9"/>
        <v>0</v>
      </c>
      <c r="AH91" s="809">
        <f t="shared" si="9"/>
        <v>0</v>
      </c>
      <c r="AI91" s="809">
        <f t="shared" si="9"/>
        <v>0</v>
      </c>
      <c r="AJ91" s="809">
        <f t="shared" si="9"/>
        <v>0</v>
      </c>
      <c r="AK91" s="809">
        <f t="shared" si="9"/>
        <v>0</v>
      </c>
      <c r="AL91" s="809">
        <f t="shared" si="9"/>
        <v>0</v>
      </c>
      <c r="AM91" s="809">
        <f t="shared" si="9"/>
        <v>0</v>
      </c>
      <c r="AN91" s="809">
        <f t="shared" si="9"/>
        <v>0</v>
      </c>
      <c r="AO91" s="809">
        <f t="shared" si="9"/>
        <v>0</v>
      </c>
      <c r="AP91" s="809">
        <f t="shared" si="9"/>
        <v>0</v>
      </c>
      <c r="AQ91" s="809">
        <f t="shared" si="9"/>
        <v>0</v>
      </c>
      <c r="AR91" s="809">
        <f t="shared" si="9"/>
        <v>0</v>
      </c>
      <c r="AS91" s="809">
        <f t="shared" si="9"/>
        <v>0</v>
      </c>
      <c r="AT91" s="809">
        <f t="shared" si="9"/>
        <v>0</v>
      </c>
      <c r="AU91" s="809">
        <f t="shared" si="9"/>
        <v>0</v>
      </c>
      <c r="AV91" s="809">
        <f t="shared" si="9"/>
        <v>0</v>
      </c>
      <c r="AW91" s="809">
        <f t="shared" si="9"/>
        <v>0</v>
      </c>
      <c r="AX91" s="809">
        <f t="shared" si="9"/>
        <v>0</v>
      </c>
      <c r="AY91" s="809">
        <f t="shared" si="9"/>
        <v>0</v>
      </c>
    </row>
    <row r="92" spans="31:52" x14ac:dyDescent="0.25">
      <c r="AE92" s="814" t="s">
        <v>1265</v>
      </c>
      <c r="AF92" s="815"/>
      <c r="AG92" s="815"/>
      <c r="AH92" s="815"/>
      <c r="AI92" s="815"/>
      <c r="AJ92" s="815"/>
      <c r="AK92" s="815"/>
      <c r="AL92" s="815"/>
      <c r="AM92" s="815"/>
      <c r="AN92" s="815"/>
      <c r="AO92" s="815"/>
      <c r="AP92" s="815"/>
      <c r="AQ92" s="815"/>
      <c r="AR92" s="815"/>
      <c r="AS92" s="815"/>
      <c r="AT92" s="815"/>
      <c r="AU92" s="815"/>
      <c r="AV92" s="815"/>
      <c r="AW92" s="815"/>
      <c r="AX92" s="815"/>
      <c r="AY92" s="815"/>
      <c r="AZ92" s="816"/>
    </row>
    <row r="93" spans="31:52" x14ac:dyDescent="0.25">
      <c r="AE93" s="814">
        <v>48</v>
      </c>
      <c r="AF93" s="815">
        <f>AF44</f>
        <v>8</v>
      </c>
      <c r="AG93" s="815">
        <f t="shared" ref="AG93:AY93" si="10">AG44</f>
        <v>0</v>
      </c>
      <c r="AH93" s="815">
        <f t="shared" si="10"/>
        <v>0</v>
      </c>
      <c r="AI93" s="815">
        <f t="shared" si="10"/>
        <v>0</v>
      </c>
      <c r="AJ93" s="815">
        <f t="shared" si="10"/>
        <v>0</v>
      </c>
      <c r="AK93" s="815">
        <f t="shared" si="10"/>
        <v>0</v>
      </c>
      <c r="AL93" s="815">
        <f t="shared" si="10"/>
        <v>0</v>
      </c>
      <c r="AM93" s="815">
        <f t="shared" si="10"/>
        <v>0</v>
      </c>
      <c r="AN93" s="815">
        <f t="shared" si="10"/>
        <v>0</v>
      </c>
      <c r="AO93" s="815">
        <f t="shared" si="10"/>
        <v>0</v>
      </c>
      <c r="AP93" s="815">
        <f t="shared" si="10"/>
        <v>0</v>
      </c>
      <c r="AQ93" s="815">
        <f t="shared" si="10"/>
        <v>0</v>
      </c>
      <c r="AR93" s="815">
        <f t="shared" si="10"/>
        <v>0</v>
      </c>
      <c r="AS93" s="815">
        <f t="shared" si="10"/>
        <v>0</v>
      </c>
      <c r="AT93" s="815">
        <f t="shared" si="10"/>
        <v>0</v>
      </c>
      <c r="AU93" s="815">
        <f t="shared" si="10"/>
        <v>0</v>
      </c>
      <c r="AV93" s="815">
        <f t="shared" si="10"/>
        <v>0</v>
      </c>
      <c r="AW93" s="815">
        <f t="shared" si="10"/>
        <v>0</v>
      </c>
      <c r="AX93" s="815">
        <f t="shared" si="10"/>
        <v>0</v>
      </c>
      <c r="AY93" s="815">
        <f t="shared" si="10"/>
        <v>0</v>
      </c>
      <c r="AZ93" s="817">
        <v>48</v>
      </c>
    </row>
    <row r="94" spans="31:52" x14ac:dyDescent="0.25">
      <c r="AE94" s="814">
        <v>47</v>
      </c>
      <c r="AF94" s="815">
        <f t="shared" ref="AF94" si="11">AF93+AF45</f>
        <v>8</v>
      </c>
      <c r="AG94" s="815">
        <f t="shared" ref="AG94:AY94" si="12">AG93+AG45</f>
        <v>0</v>
      </c>
      <c r="AH94" s="815">
        <f t="shared" si="12"/>
        <v>0</v>
      </c>
      <c r="AI94" s="815">
        <f t="shared" si="12"/>
        <v>0</v>
      </c>
      <c r="AJ94" s="815">
        <f t="shared" si="12"/>
        <v>0</v>
      </c>
      <c r="AK94" s="815">
        <f t="shared" si="12"/>
        <v>0</v>
      </c>
      <c r="AL94" s="815">
        <f t="shared" si="12"/>
        <v>0</v>
      </c>
      <c r="AM94" s="815">
        <f t="shared" si="12"/>
        <v>0</v>
      </c>
      <c r="AN94" s="815">
        <f t="shared" si="12"/>
        <v>0</v>
      </c>
      <c r="AO94" s="815">
        <f t="shared" si="12"/>
        <v>0</v>
      </c>
      <c r="AP94" s="815">
        <f t="shared" si="12"/>
        <v>0</v>
      </c>
      <c r="AQ94" s="815">
        <f t="shared" si="12"/>
        <v>0</v>
      </c>
      <c r="AR94" s="815">
        <f t="shared" si="12"/>
        <v>0</v>
      </c>
      <c r="AS94" s="815">
        <f t="shared" si="12"/>
        <v>0</v>
      </c>
      <c r="AT94" s="815">
        <f t="shared" si="12"/>
        <v>0</v>
      </c>
      <c r="AU94" s="815">
        <f t="shared" si="12"/>
        <v>0</v>
      </c>
      <c r="AV94" s="815">
        <f t="shared" si="12"/>
        <v>0</v>
      </c>
      <c r="AW94" s="815">
        <f t="shared" si="12"/>
        <v>0</v>
      </c>
      <c r="AX94" s="815">
        <f t="shared" si="12"/>
        <v>0</v>
      </c>
      <c r="AY94" s="815">
        <f t="shared" si="12"/>
        <v>0</v>
      </c>
      <c r="AZ94" s="817">
        <v>47</v>
      </c>
    </row>
    <row r="95" spans="31:52" x14ac:dyDescent="0.25">
      <c r="AE95" s="814">
        <v>46</v>
      </c>
      <c r="AF95" s="815">
        <f t="shared" ref="AF95:AY95" si="13">AF94+AF46</f>
        <v>10</v>
      </c>
      <c r="AG95" s="815">
        <f t="shared" si="13"/>
        <v>0</v>
      </c>
      <c r="AH95" s="815">
        <f t="shared" si="13"/>
        <v>0</v>
      </c>
      <c r="AI95" s="815">
        <f t="shared" si="13"/>
        <v>0</v>
      </c>
      <c r="AJ95" s="815">
        <f t="shared" si="13"/>
        <v>0</v>
      </c>
      <c r="AK95" s="815">
        <f t="shared" si="13"/>
        <v>0</v>
      </c>
      <c r="AL95" s="815">
        <f t="shared" si="13"/>
        <v>0</v>
      </c>
      <c r="AM95" s="815">
        <f t="shared" si="13"/>
        <v>0</v>
      </c>
      <c r="AN95" s="815">
        <f t="shared" si="13"/>
        <v>0</v>
      </c>
      <c r="AO95" s="815">
        <f t="shared" si="13"/>
        <v>0</v>
      </c>
      <c r="AP95" s="815">
        <f t="shared" si="13"/>
        <v>0</v>
      </c>
      <c r="AQ95" s="815">
        <f t="shared" si="13"/>
        <v>0</v>
      </c>
      <c r="AR95" s="815">
        <f t="shared" si="13"/>
        <v>0</v>
      </c>
      <c r="AS95" s="815">
        <f t="shared" si="13"/>
        <v>0</v>
      </c>
      <c r="AT95" s="815">
        <f t="shared" si="13"/>
        <v>0</v>
      </c>
      <c r="AU95" s="815">
        <f t="shared" si="13"/>
        <v>0</v>
      </c>
      <c r="AV95" s="815">
        <f t="shared" si="13"/>
        <v>0</v>
      </c>
      <c r="AW95" s="815">
        <f t="shared" si="13"/>
        <v>0</v>
      </c>
      <c r="AX95" s="815">
        <f t="shared" si="13"/>
        <v>0</v>
      </c>
      <c r="AY95" s="815">
        <f t="shared" si="13"/>
        <v>0</v>
      </c>
      <c r="AZ95" s="817">
        <v>46</v>
      </c>
    </row>
    <row r="96" spans="31:52" x14ac:dyDescent="0.25">
      <c r="AE96" s="814">
        <v>45</v>
      </c>
      <c r="AF96" s="815">
        <f t="shared" ref="AF96:AY96" si="14">AF95+AF47</f>
        <v>10</v>
      </c>
      <c r="AG96" s="815">
        <f t="shared" si="14"/>
        <v>0</v>
      </c>
      <c r="AH96" s="815">
        <f t="shared" si="14"/>
        <v>0</v>
      </c>
      <c r="AI96" s="815">
        <f t="shared" si="14"/>
        <v>0</v>
      </c>
      <c r="AJ96" s="815">
        <f t="shared" si="14"/>
        <v>0</v>
      </c>
      <c r="AK96" s="815">
        <f t="shared" si="14"/>
        <v>0</v>
      </c>
      <c r="AL96" s="815">
        <f t="shared" si="14"/>
        <v>0</v>
      </c>
      <c r="AM96" s="815">
        <f t="shared" si="14"/>
        <v>0</v>
      </c>
      <c r="AN96" s="815">
        <f t="shared" si="14"/>
        <v>0</v>
      </c>
      <c r="AO96" s="815">
        <f t="shared" si="14"/>
        <v>0</v>
      </c>
      <c r="AP96" s="815">
        <f t="shared" si="14"/>
        <v>0</v>
      </c>
      <c r="AQ96" s="815">
        <f t="shared" si="14"/>
        <v>0</v>
      </c>
      <c r="AR96" s="815">
        <f t="shared" si="14"/>
        <v>0</v>
      </c>
      <c r="AS96" s="815">
        <f t="shared" si="14"/>
        <v>0</v>
      </c>
      <c r="AT96" s="815">
        <f t="shared" si="14"/>
        <v>0</v>
      </c>
      <c r="AU96" s="815">
        <f t="shared" si="14"/>
        <v>0</v>
      </c>
      <c r="AV96" s="815">
        <f t="shared" si="14"/>
        <v>0</v>
      </c>
      <c r="AW96" s="815">
        <f t="shared" si="14"/>
        <v>0</v>
      </c>
      <c r="AX96" s="815">
        <f t="shared" si="14"/>
        <v>0</v>
      </c>
      <c r="AY96" s="815">
        <f t="shared" si="14"/>
        <v>0</v>
      </c>
      <c r="AZ96" s="817">
        <v>45</v>
      </c>
    </row>
    <row r="97" spans="31:52" x14ac:dyDescent="0.25">
      <c r="AE97" s="814">
        <v>44</v>
      </c>
      <c r="AF97" s="815">
        <f t="shared" ref="AF97:AY97" si="15">AF96+AF48</f>
        <v>10</v>
      </c>
      <c r="AG97" s="815">
        <f t="shared" si="15"/>
        <v>0</v>
      </c>
      <c r="AH97" s="815">
        <f t="shared" si="15"/>
        <v>0</v>
      </c>
      <c r="AI97" s="815">
        <f t="shared" si="15"/>
        <v>0</v>
      </c>
      <c r="AJ97" s="815">
        <f t="shared" si="15"/>
        <v>0</v>
      </c>
      <c r="AK97" s="815">
        <f t="shared" si="15"/>
        <v>0</v>
      </c>
      <c r="AL97" s="815">
        <f t="shared" si="15"/>
        <v>0</v>
      </c>
      <c r="AM97" s="815">
        <f t="shared" si="15"/>
        <v>0</v>
      </c>
      <c r="AN97" s="815">
        <f t="shared" si="15"/>
        <v>0</v>
      </c>
      <c r="AO97" s="815">
        <f t="shared" si="15"/>
        <v>0</v>
      </c>
      <c r="AP97" s="815">
        <f t="shared" si="15"/>
        <v>0</v>
      </c>
      <c r="AQ97" s="815">
        <f t="shared" si="15"/>
        <v>0</v>
      </c>
      <c r="AR97" s="815">
        <f t="shared" si="15"/>
        <v>0</v>
      </c>
      <c r="AS97" s="815">
        <f t="shared" si="15"/>
        <v>0</v>
      </c>
      <c r="AT97" s="815">
        <f t="shared" si="15"/>
        <v>0</v>
      </c>
      <c r="AU97" s="815">
        <f t="shared" si="15"/>
        <v>0</v>
      </c>
      <c r="AV97" s="815">
        <f t="shared" si="15"/>
        <v>0</v>
      </c>
      <c r="AW97" s="815">
        <f t="shared" si="15"/>
        <v>0</v>
      </c>
      <c r="AX97" s="815">
        <f t="shared" si="15"/>
        <v>0</v>
      </c>
      <c r="AY97" s="815">
        <f t="shared" si="15"/>
        <v>0</v>
      </c>
      <c r="AZ97" s="817">
        <v>44</v>
      </c>
    </row>
    <row r="98" spans="31:52" x14ac:dyDescent="0.25">
      <c r="AE98" s="814">
        <v>43</v>
      </c>
      <c r="AF98" s="815">
        <f t="shared" ref="AF98:AY98" si="16">AF97+AF49</f>
        <v>10</v>
      </c>
      <c r="AG98" s="815">
        <f t="shared" si="16"/>
        <v>0</v>
      </c>
      <c r="AH98" s="815">
        <f t="shared" si="16"/>
        <v>0</v>
      </c>
      <c r="AI98" s="815">
        <f t="shared" si="16"/>
        <v>0</v>
      </c>
      <c r="AJ98" s="815">
        <f t="shared" si="16"/>
        <v>0</v>
      </c>
      <c r="AK98" s="815">
        <f t="shared" si="16"/>
        <v>0</v>
      </c>
      <c r="AL98" s="815">
        <f t="shared" si="16"/>
        <v>0</v>
      </c>
      <c r="AM98" s="815">
        <f t="shared" si="16"/>
        <v>0</v>
      </c>
      <c r="AN98" s="815">
        <f t="shared" si="16"/>
        <v>0</v>
      </c>
      <c r="AO98" s="815">
        <f t="shared" si="16"/>
        <v>0</v>
      </c>
      <c r="AP98" s="815">
        <f t="shared" si="16"/>
        <v>0</v>
      </c>
      <c r="AQ98" s="815">
        <f t="shared" si="16"/>
        <v>0</v>
      </c>
      <c r="AR98" s="815">
        <f t="shared" si="16"/>
        <v>0</v>
      </c>
      <c r="AS98" s="815">
        <f t="shared" si="16"/>
        <v>0</v>
      </c>
      <c r="AT98" s="815">
        <f t="shared" si="16"/>
        <v>0</v>
      </c>
      <c r="AU98" s="815">
        <f t="shared" si="16"/>
        <v>0</v>
      </c>
      <c r="AV98" s="815">
        <f t="shared" si="16"/>
        <v>0</v>
      </c>
      <c r="AW98" s="815">
        <f t="shared" si="16"/>
        <v>0</v>
      </c>
      <c r="AX98" s="815">
        <f t="shared" si="16"/>
        <v>0</v>
      </c>
      <c r="AY98" s="815">
        <f t="shared" si="16"/>
        <v>0</v>
      </c>
      <c r="AZ98" s="817">
        <v>43</v>
      </c>
    </row>
    <row r="99" spans="31:52" x14ac:dyDescent="0.25">
      <c r="AE99" s="814">
        <v>42</v>
      </c>
      <c r="AF99" s="815">
        <f t="shared" ref="AF99:AY99" si="17">AF98+AF50</f>
        <v>10</v>
      </c>
      <c r="AG99" s="815">
        <f t="shared" si="17"/>
        <v>0</v>
      </c>
      <c r="AH99" s="815">
        <f t="shared" si="17"/>
        <v>0</v>
      </c>
      <c r="AI99" s="815">
        <f t="shared" si="17"/>
        <v>0</v>
      </c>
      <c r="AJ99" s="815">
        <f t="shared" si="17"/>
        <v>0</v>
      </c>
      <c r="AK99" s="815">
        <f t="shared" si="17"/>
        <v>0</v>
      </c>
      <c r="AL99" s="815">
        <f t="shared" si="17"/>
        <v>0</v>
      </c>
      <c r="AM99" s="815">
        <f t="shared" si="17"/>
        <v>0</v>
      </c>
      <c r="AN99" s="815">
        <f t="shared" si="17"/>
        <v>0</v>
      </c>
      <c r="AO99" s="815">
        <f t="shared" si="17"/>
        <v>0</v>
      </c>
      <c r="AP99" s="815">
        <f t="shared" si="17"/>
        <v>0</v>
      </c>
      <c r="AQ99" s="815">
        <f t="shared" si="17"/>
        <v>0</v>
      </c>
      <c r="AR99" s="815">
        <f t="shared" si="17"/>
        <v>0</v>
      </c>
      <c r="AS99" s="815">
        <f t="shared" si="17"/>
        <v>0</v>
      </c>
      <c r="AT99" s="815">
        <f t="shared" si="17"/>
        <v>0</v>
      </c>
      <c r="AU99" s="815">
        <f t="shared" si="17"/>
        <v>0</v>
      </c>
      <c r="AV99" s="815">
        <f t="shared" si="17"/>
        <v>0</v>
      </c>
      <c r="AW99" s="815">
        <f t="shared" si="17"/>
        <v>0</v>
      </c>
      <c r="AX99" s="815">
        <f t="shared" si="17"/>
        <v>0</v>
      </c>
      <c r="AY99" s="815">
        <f t="shared" si="17"/>
        <v>0</v>
      </c>
      <c r="AZ99" s="817">
        <v>42</v>
      </c>
    </row>
    <row r="100" spans="31:52" x14ac:dyDescent="0.25">
      <c r="AE100" s="814">
        <v>41</v>
      </c>
      <c r="AF100" s="815">
        <f t="shared" ref="AF100:AY100" si="18">AF99+AF51</f>
        <v>10</v>
      </c>
      <c r="AG100" s="815">
        <f t="shared" si="18"/>
        <v>0</v>
      </c>
      <c r="AH100" s="815">
        <f t="shared" si="18"/>
        <v>0</v>
      </c>
      <c r="AI100" s="815">
        <f t="shared" si="18"/>
        <v>0</v>
      </c>
      <c r="AJ100" s="815">
        <f t="shared" si="18"/>
        <v>0</v>
      </c>
      <c r="AK100" s="815">
        <f t="shared" si="18"/>
        <v>0</v>
      </c>
      <c r="AL100" s="815">
        <f t="shared" si="18"/>
        <v>0</v>
      </c>
      <c r="AM100" s="815">
        <f t="shared" si="18"/>
        <v>0</v>
      </c>
      <c r="AN100" s="815">
        <f t="shared" si="18"/>
        <v>0</v>
      </c>
      <c r="AO100" s="815">
        <f t="shared" si="18"/>
        <v>0</v>
      </c>
      <c r="AP100" s="815">
        <f t="shared" si="18"/>
        <v>0</v>
      </c>
      <c r="AQ100" s="815">
        <f t="shared" si="18"/>
        <v>0</v>
      </c>
      <c r="AR100" s="815">
        <f t="shared" si="18"/>
        <v>0</v>
      </c>
      <c r="AS100" s="815">
        <f t="shared" si="18"/>
        <v>0</v>
      </c>
      <c r="AT100" s="815">
        <f t="shared" si="18"/>
        <v>0</v>
      </c>
      <c r="AU100" s="815">
        <f t="shared" si="18"/>
        <v>0</v>
      </c>
      <c r="AV100" s="815">
        <f t="shared" si="18"/>
        <v>0</v>
      </c>
      <c r="AW100" s="815">
        <f t="shared" si="18"/>
        <v>0</v>
      </c>
      <c r="AX100" s="815">
        <f t="shared" si="18"/>
        <v>0</v>
      </c>
      <c r="AY100" s="815">
        <f t="shared" si="18"/>
        <v>0</v>
      </c>
      <c r="AZ100" s="817">
        <v>41</v>
      </c>
    </row>
    <row r="101" spans="31:52" x14ac:dyDescent="0.25">
      <c r="AE101" s="814">
        <v>40</v>
      </c>
      <c r="AF101" s="815">
        <f t="shared" ref="AF101:AY101" si="19">AF100+AF52</f>
        <v>10</v>
      </c>
      <c r="AG101" s="815">
        <f t="shared" si="19"/>
        <v>0</v>
      </c>
      <c r="AH101" s="815">
        <f t="shared" si="19"/>
        <v>0</v>
      </c>
      <c r="AI101" s="815">
        <f t="shared" si="19"/>
        <v>0</v>
      </c>
      <c r="AJ101" s="815">
        <f t="shared" si="19"/>
        <v>0</v>
      </c>
      <c r="AK101" s="815">
        <f t="shared" si="19"/>
        <v>0</v>
      </c>
      <c r="AL101" s="815">
        <f t="shared" si="19"/>
        <v>0</v>
      </c>
      <c r="AM101" s="815">
        <f t="shared" si="19"/>
        <v>0</v>
      </c>
      <c r="AN101" s="815">
        <f t="shared" si="19"/>
        <v>0</v>
      </c>
      <c r="AO101" s="815">
        <f t="shared" si="19"/>
        <v>0</v>
      </c>
      <c r="AP101" s="815">
        <f t="shared" si="19"/>
        <v>0</v>
      </c>
      <c r="AQ101" s="815">
        <f t="shared" si="19"/>
        <v>0</v>
      </c>
      <c r="AR101" s="815">
        <f t="shared" si="19"/>
        <v>0</v>
      </c>
      <c r="AS101" s="815">
        <f t="shared" si="19"/>
        <v>0</v>
      </c>
      <c r="AT101" s="815">
        <f t="shared" si="19"/>
        <v>0</v>
      </c>
      <c r="AU101" s="815">
        <f t="shared" si="19"/>
        <v>0</v>
      </c>
      <c r="AV101" s="815">
        <f t="shared" si="19"/>
        <v>0</v>
      </c>
      <c r="AW101" s="815">
        <f t="shared" si="19"/>
        <v>0</v>
      </c>
      <c r="AX101" s="815">
        <f t="shared" si="19"/>
        <v>0</v>
      </c>
      <c r="AY101" s="815">
        <f t="shared" si="19"/>
        <v>0</v>
      </c>
      <c r="AZ101" s="817">
        <v>40</v>
      </c>
    </row>
    <row r="102" spans="31:52" x14ac:dyDescent="0.25">
      <c r="AE102" s="814">
        <v>39</v>
      </c>
      <c r="AF102" s="815">
        <f t="shared" ref="AF102:AY102" si="20">AF101+AF53</f>
        <v>10</v>
      </c>
      <c r="AG102" s="815">
        <f t="shared" si="20"/>
        <v>0</v>
      </c>
      <c r="AH102" s="815">
        <f t="shared" si="20"/>
        <v>0</v>
      </c>
      <c r="AI102" s="815">
        <f t="shared" si="20"/>
        <v>0</v>
      </c>
      <c r="AJ102" s="815">
        <f t="shared" si="20"/>
        <v>0</v>
      </c>
      <c r="AK102" s="815">
        <f t="shared" si="20"/>
        <v>0</v>
      </c>
      <c r="AL102" s="815">
        <f t="shared" si="20"/>
        <v>0</v>
      </c>
      <c r="AM102" s="815">
        <f t="shared" si="20"/>
        <v>0</v>
      </c>
      <c r="AN102" s="815">
        <f t="shared" si="20"/>
        <v>0</v>
      </c>
      <c r="AO102" s="815">
        <f t="shared" si="20"/>
        <v>0</v>
      </c>
      <c r="AP102" s="815">
        <f t="shared" si="20"/>
        <v>0</v>
      </c>
      <c r="AQ102" s="815">
        <f t="shared" si="20"/>
        <v>0</v>
      </c>
      <c r="AR102" s="815">
        <f t="shared" si="20"/>
        <v>0</v>
      </c>
      <c r="AS102" s="815">
        <f t="shared" si="20"/>
        <v>0</v>
      </c>
      <c r="AT102" s="815">
        <f t="shared" si="20"/>
        <v>0</v>
      </c>
      <c r="AU102" s="815">
        <f t="shared" si="20"/>
        <v>0</v>
      </c>
      <c r="AV102" s="815">
        <f t="shared" si="20"/>
        <v>0</v>
      </c>
      <c r="AW102" s="815">
        <f t="shared" si="20"/>
        <v>0</v>
      </c>
      <c r="AX102" s="815">
        <f t="shared" si="20"/>
        <v>0</v>
      </c>
      <c r="AY102" s="815">
        <f t="shared" si="20"/>
        <v>0</v>
      </c>
      <c r="AZ102" s="817">
        <v>39</v>
      </c>
    </row>
    <row r="103" spans="31:52" x14ac:dyDescent="0.25">
      <c r="AE103" s="814">
        <v>38</v>
      </c>
      <c r="AF103" s="815">
        <f t="shared" ref="AF103:AY103" si="21">AF102+AF54</f>
        <v>10</v>
      </c>
      <c r="AG103" s="815">
        <f t="shared" si="21"/>
        <v>0</v>
      </c>
      <c r="AH103" s="815">
        <f t="shared" si="21"/>
        <v>0</v>
      </c>
      <c r="AI103" s="815">
        <f t="shared" si="21"/>
        <v>0</v>
      </c>
      <c r="AJ103" s="815">
        <f t="shared" si="21"/>
        <v>0</v>
      </c>
      <c r="AK103" s="815">
        <f t="shared" si="21"/>
        <v>0</v>
      </c>
      <c r="AL103" s="815">
        <f t="shared" si="21"/>
        <v>0</v>
      </c>
      <c r="AM103" s="815">
        <f t="shared" si="21"/>
        <v>0</v>
      </c>
      <c r="AN103" s="815">
        <f t="shared" si="21"/>
        <v>0</v>
      </c>
      <c r="AO103" s="815">
        <f t="shared" si="21"/>
        <v>0</v>
      </c>
      <c r="AP103" s="815">
        <f t="shared" si="21"/>
        <v>0</v>
      </c>
      <c r="AQ103" s="815">
        <f t="shared" si="21"/>
        <v>0</v>
      </c>
      <c r="AR103" s="815">
        <f t="shared" si="21"/>
        <v>0</v>
      </c>
      <c r="AS103" s="815">
        <f t="shared" si="21"/>
        <v>0</v>
      </c>
      <c r="AT103" s="815">
        <f t="shared" si="21"/>
        <v>0</v>
      </c>
      <c r="AU103" s="815">
        <f t="shared" si="21"/>
        <v>0</v>
      </c>
      <c r="AV103" s="815">
        <f t="shared" si="21"/>
        <v>0</v>
      </c>
      <c r="AW103" s="815">
        <f t="shared" si="21"/>
        <v>0</v>
      </c>
      <c r="AX103" s="815">
        <f t="shared" si="21"/>
        <v>0</v>
      </c>
      <c r="AY103" s="815">
        <f t="shared" si="21"/>
        <v>0</v>
      </c>
      <c r="AZ103" s="817">
        <v>38</v>
      </c>
    </row>
    <row r="104" spans="31:52" x14ac:dyDescent="0.25">
      <c r="AE104" s="814">
        <v>37</v>
      </c>
      <c r="AF104" s="815">
        <f t="shared" ref="AF104:AY104" si="22">AF103+AF55</f>
        <v>10</v>
      </c>
      <c r="AG104" s="815">
        <f t="shared" si="22"/>
        <v>0</v>
      </c>
      <c r="AH104" s="815">
        <f t="shared" si="22"/>
        <v>0</v>
      </c>
      <c r="AI104" s="815">
        <f t="shared" si="22"/>
        <v>0</v>
      </c>
      <c r="AJ104" s="815">
        <f t="shared" si="22"/>
        <v>0</v>
      </c>
      <c r="AK104" s="815">
        <f t="shared" si="22"/>
        <v>0</v>
      </c>
      <c r="AL104" s="815">
        <f t="shared" si="22"/>
        <v>0</v>
      </c>
      <c r="AM104" s="815">
        <f t="shared" si="22"/>
        <v>0</v>
      </c>
      <c r="AN104" s="815">
        <f t="shared" si="22"/>
        <v>0</v>
      </c>
      <c r="AO104" s="815">
        <f t="shared" si="22"/>
        <v>0</v>
      </c>
      <c r="AP104" s="815">
        <f t="shared" si="22"/>
        <v>0</v>
      </c>
      <c r="AQ104" s="815">
        <f t="shared" si="22"/>
        <v>0</v>
      </c>
      <c r="AR104" s="815">
        <f t="shared" si="22"/>
        <v>0</v>
      </c>
      <c r="AS104" s="815">
        <f t="shared" si="22"/>
        <v>0</v>
      </c>
      <c r="AT104" s="815">
        <f t="shared" si="22"/>
        <v>0</v>
      </c>
      <c r="AU104" s="815">
        <f t="shared" si="22"/>
        <v>0</v>
      </c>
      <c r="AV104" s="815">
        <f t="shared" si="22"/>
        <v>0</v>
      </c>
      <c r="AW104" s="815">
        <f t="shared" si="22"/>
        <v>0</v>
      </c>
      <c r="AX104" s="815">
        <f t="shared" si="22"/>
        <v>0</v>
      </c>
      <c r="AY104" s="815">
        <f t="shared" si="22"/>
        <v>0</v>
      </c>
      <c r="AZ104" s="817">
        <v>37</v>
      </c>
    </row>
    <row r="105" spans="31:52" x14ac:dyDescent="0.25">
      <c r="AE105" s="814">
        <v>36</v>
      </c>
      <c r="AF105" s="815">
        <f t="shared" ref="AF105:AY105" si="23">AF104+AF56</f>
        <v>10</v>
      </c>
      <c r="AG105" s="815">
        <f t="shared" si="23"/>
        <v>0</v>
      </c>
      <c r="AH105" s="815">
        <f t="shared" si="23"/>
        <v>0</v>
      </c>
      <c r="AI105" s="815">
        <f t="shared" si="23"/>
        <v>0</v>
      </c>
      <c r="AJ105" s="815">
        <f t="shared" si="23"/>
        <v>0</v>
      </c>
      <c r="AK105" s="815">
        <f t="shared" si="23"/>
        <v>0</v>
      </c>
      <c r="AL105" s="815">
        <f t="shared" si="23"/>
        <v>0</v>
      </c>
      <c r="AM105" s="815">
        <f t="shared" si="23"/>
        <v>0</v>
      </c>
      <c r="AN105" s="815">
        <f t="shared" si="23"/>
        <v>0</v>
      </c>
      <c r="AO105" s="815">
        <f t="shared" si="23"/>
        <v>0</v>
      </c>
      <c r="AP105" s="815">
        <f t="shared" si="23"/>
        <v>0</v>
      </c>
      <c r="AQ105" s="815">
        <f t="shared" si="23"/>
        <v>0</v>
      </c>
      <c r="AR105" s="815">
        <f t="shared" si="23"/>
        <v>0</v>
      </c>
      <c r="AS105" s="815">
        <f t="shared" si="23"/>
        <v>0</v>
      </c>
      <c r="AT105" s="815">
        <f t="shared" si="23"/>
        <v>0</v>
      </c>
      <c r="AU105" s="815">
        <f t="shared" si="23"/>
        <v>0</v>
      </c>
      <c r="AV105" s="815">
        <f t="shared" si="23"/>
        <v>0</v>
      </c>
      <c r="AW105" s="815">
        <f t="shared" si="23"/>
        <v>0</v>
      </c>
      <c r="AX105" s="815">
        <f t="shared" si="23"/>
        <v>0</v>
      </c>
      <c r="AY105" s="815">
        <f t="shared" si="23"/>
        <v>0</v>
      </c>
      <c r="AZ105" s="817">
        <v>36</v>
      </c>
    </row>
    <row r="106" spans="31:52" x14ac:dyDescent="0.25">
      <c r="AE106" s="814">
        <v>35</v>
      </c>
      <c r="AF106" s="815">
        <f t="shared" ref="AF106:AY106" si="24">AF105+AF57</f>
        <v>10</v>
      </c>
      <c r="AG106" s="815">
        <f t="shared" si="24"/>
        <v>0</v>
      </c>
      <c r="AH106" s="815">
        <f t="shared" si="24"/>
        <v>0</v>
      </c>
      <c r="AI106" s="815">
        <f t="shared" si="24"/>
        <v>0</v>
      </c>
      <c r="AJ106" s="815">
        <f t="shared" si="24"/>
        <v>0</v>
      </c>
      <c r="AK106" s="815">
        <f t="shared" si="24"/>
        <v>0</v>
      </c>
      <c r="AL106" s="815">
        <f t="shared" si="24"/>
        <v>0</v>
      </c>
      <c r="AM106" s="815">
        <f t="shared" si="24"/>
        <v>0</v>
      </c>
      <c r="AN106" s="815">
        <f t="shared" si="24"/>
        <v>0</v>
      </c>
      <c r="AO106" s="815">
        <f t="shared" si="24"/>
        <v>0</v>
      </c>
      <c r="AP106" s="815">
        <f t="shared" si="24"/>
        <v>0</v>
      </c>
      <c r="AQ106" s="815">
        <f t="shared" si="24"/>
        <v>0</v>
      </c>
      <c r="AR106" s="815">
        <f t="shared" si="24"/>
        <v>0</v>
      </c>
      <c r="AS106" s="815">
        <f t="shared" si="24"/>
        <v>0</v>
      </c>
      <c r="AT106" s="815">
        <f t="shared" si="24"/>
        <v>0</v>
      </c>
      <c r="AU106" s="815">
        <f t="shared" si="24"/>
        <v>0</v>
      </c>
      <c r="AV106" s="815">
        <f t="shared" si="24"/>
        <v>0</v>
      </c>
      <c r="AW106" s="815">
        <f t="shared" si="24"/>
        <v>0</v>
      </c>
      <c r="AX106" s="815">
        <f t="shared" si="24"/>
        <v>0</v>
      </c>
      <c r="AY106" s="815">
        <f t="shared" si="24"/>
        <v>0</v>
      </c>
      <c r="AZ106" s="817">
        <v>35</v>
      </c>
    </row>
    <row r="107" spans="31:52" x14ac:dyDescent="0.25">
      <c r="AE107" s="814">
        <v>34</v>
      </c>
      <c r="AF107" s="815">
        <f t="shared" ref="AF107:AY107" si="25">AF106+AF58</f>
        <v>10</v>
      </c>
      <c r="AG107" s="815">
        <f t="shared" si="25"/>
        <v>0</v>
      </c>
      <c r="AH107" s="815">
        <f t="shared" si="25"/>
        <v>0</v>
      </c>
      <c r="AI107" s="815">
        <f t="shared" si="25"/>
        <v>0</v>
      </c>
      <c r="AJ107" s="815">
        <f t="shared" si="25"/>
        <v>0</v>
      </c>
      <c r="AK107" s="815">
        <f t="shared" si="25"/>
        <v>0</v>
      </c>
      <c r="AL107" s="815">
        <f t="shared" si="25"/>
        <v>0</v>
      </c>
      <c r="AM107" s="815">
        <f t="shared" si="25"/>
        <v>0</v>
      </c>
      <c r="AN107" s="815">
        <f t="shared" si="25"/>
        <v>0</v>
      </c>
      <c r="AO107" s="815">
        <f t="shared" si="25"/>
        <v>0</v>
      </c>
      <c r="AP107" s="815">
        <f t="shared" si="25"/>
        <v>0</v>
      </c>
      <c r="AQ107" s="815">
        <f t="shared" si="25"/>
        <v>0</v>
      </c>
      <c r="AR107" s="815">
        <f t="shared" si="25"/>
        <v>0</v>
      </c>
      <c r="AS107" s="815">
        <f t="shared" si="25"/>
        <v>0</v>
      </c>
      <c r="AT107" s="815">
        <f t="shared" si="25"/>
        <v>0</v>
      </c>
      <c r="AU107" s="815">
        <f t="shared" si="25"/>
        <v>0</v>
      </c>
      <c r="AV107" s="815">
        <f t="shared" si="25"/>
        <v>0</v>
      </c>
      <c r="AW107" s="815">
        <f t="shared" si="25"/>
        <v>0</v>
      </c>
      <c r="AX107" s="815">
        <f t="shared" si="25"/>
        <v>0</v>
      </c>
      <c r="AY107" s="815">
        <f t="shared" si="25"/>
        <v>0</v>
      </c>
      <c r="AZ107" s="817">
        <v>34</v>
      </c>
    </row>
    <row r="108" spans="31:52" x14ac:dyDescent="0.25">
      <c r="AE108" s="814">
        <v>33</v>
      </c>
      <c r="AF108" s="815">
        <f t="shared" ref="AF108:AY108" si="26">AF107+AF59</f>
        <v>10</v>
      </c>
      <c r="AG108" s="815">
        <f t="shared" si="26"/>
        <v>0</v>
      </c>
      <c r="AH108" s="815">
        <f t="shared" si="26"/>
        <v>0</v>
      </c>
      <c r="AI108" s="815">
        <f t="shared" si="26"/>
        <v>0</v>
      </c>
      <c r="AJ108" s="815">
        <f t="shared" si="26"/>
        <v>0</v>
      </c>
      <c r="AK108" s="815">
        <f t="shared" si="26"/>
        <v>0</v>
      </c>
      <c r="AL108" s="815">
        <f t="shared" si="26"/>
        <v>0</v>
      </c>
      <c r="AM108" s="815">
        <f t="shared" si="26"/>
        <v>0</v>
      </c>
      <c r="AN108" s="815">
        <f t="shared" si="26"/>
        <v>0</v>
      </c>
      <c r="AO108" s="815">
        <f t="shared" si="26"/>
        <v>0</v>
      </c>
      <c r="AP108" s="815">
        <f t="shared" si="26"/>
        <v>0</v>
      </c>
      <c r="AQ108" s="815">
        <f t="shared" si="26"/>
        <v>0</v>
      </c>
      <c r="AR108" s="815">
        <f t="shared" si="26"/>
        <v>0</v>
      </c>
      <c r="AS108" s="815">
        <f t="shared" si="26"/>
        <v>0</v>
      </c>
      <c r="AT108" s="815">
        <f t="shared" si="26"/>
        <v>0</v>
      </c>
      <c r="AU108" s="815">
        <f t="shared" si="26"/>
        <v>0</v>
      </c>
      <c r="AV108" s="815">
        <f t="shared" si="26"/>
        <v>0</v>
      </c>
      <c r="AW108" s="815">
        <f t="shared" si="26"/>
        <v>0</v>
      </c>
      <c r="AX108" s="815">
        <f t="shared" si="26"/>
        <v>0</v>
      </c>
      <c r="AY108" s="815">
        <f t="shared" si="26"/>
        <v>0</v>
      </c>
      <c r="AZ108" s="817">
        <v>33</v>
      </c>
    </row>
    <row r="109" spans="31:52" x14ac:dyDescent="0.25">
      <c r="AE109" s="814">
        <v>32</v>
      </c>
      <c r="AF109" s="815">
        <f t="shared" ref="AF109:AY109" si="27">AF108+AF60</f>
        <v>10</v>
      </c>
      <c r="AG109" s="815">
        <f t="shared" si="27"/>
        <v>0</v>
      </c>
      <c r="AH109" s="815">
        <f t="shared" si="27"/>
        <v>0</v>
      </c>
      <c r="AI109" s="815">
        <f t="shared" si="27"/>
        <v>0</v>
      </c>
      <c r="AJ109" s="815">
        <f t="shared" si="27"/>
        <v>0</v>
      </c>
      <c r="AK109" s="815">
        <f t="shared" si="27"/>
        <v>0</v>
      </c>
      <c r="AL109" s="815">
        <f t="shared" si="27"/>
        <v>0</v>
      </c>
      <c r="AM109" s="815">
        <f t="shared" si="27"/>
        <v>0</v>
      </c>
      <c r="AN109" s="815">
        <f t="shared" si="27"/>
        <v>0</v>
      </c>
      <c r="AO109" s="815">
        <f t="shared" si="27"/>
        <v>0</v>
      </c>
      <c r="AP109" s="815">
        <f t="shared" si="27"/>
        <v>0</v>
      </c>
      <c r="AQ109" s="815">
        <f t="shared" si="27"/>
        <v>0</v>
      </c>
      <c r="AR109" s="815">
        <f t="shared" si="27"/>
        <v>0</v>
      </c>
      <c r="AS109" s="815">
        <f t="shared" si="27"/>
        <v>0</v>
      </c>
      <c r="AT109" s="815">
        <f t="shared" si="27"/>
        <v>0</v>
      </c>
      <c r="AU109" s="815">
        <f t="shared" si="27"/>
        <v>0</v>
      </c>
      <c r="AV109" s="815">
        <f t="shared" si="27"/>
        <v>0</v>
      </c>
      <c r="AW109" s="815">
        <f t="shared" si="27"/>
        <v>0</v>
      </c>
      <c r="AX109" s="815">
        <f t="shared" si="27"/>
        <v>0</v>
      </c>
      <c r="AY109" s="815">
        <f t="shared" si="27"/>
        <v>0</v>
      </c>
      <c r="AZ109" s="817">
        <v>32</v>
      </c>
    </row>
    <row r="110" spans="31:52" x14ac:dyDescent="0.25">
      <c r="AE110" s="814">
        <v>31</v>
      </c>
      <c r="AF110" s="815">
        <f t="shared" ref="AF110:AY110" si="28">AF109+AF61</f>
        <v>10</v>
      </c>
      <c r="AG110" s="815">
        <f t="shared" si="28"/>
        <v>0</v>
      </c>
      <c r="AH110" s="815">
        <f t="shared" si="28"/>
        <v>0</v>
      </c>
      <c r="AI110" s="815">
        <f t="shared" si="28"/>
        <v>0</v>
      </c>
      <c r="AJ110" s="815">
        <f t="shared" si="28"/>
        <v>0</v>
      </c>
      <c r="AK110" s="815">
        <f t="shared" si="28"/>
        <v>0</v>
      </c>
      <c r="AL110" s="815">
        <f t="shared" si="28"/>
        <v>0</v>
      </c>
      <c r="AM110" s="815">
        <f t="shared" si="28"/>
        <v>0</v>
      </c>
      <c r="AN110" s="815">
        <f t="shared" si="28"/>
        <v>0</v>
      </c>
      <c r="AO110" s="815">
        <f t="shared" si="28"/>
        <v>0</v>
      </c>
      <c r="AP110" s="815">
        <f t="shared" si="28"/>
        <v>0</v>
      </c>
      <c r="AQ110" s="815">
        <f t="shared" si="28"/>
        <v>0</v>
      </c>
      <c r="AR110" s="815">
        <f t="shared" si="28"/>
        <v>0</v>
      </c>
      <c r="AS110" s="815">
        <f t="shared" si="28"/>
        <v>0</v>
      </c>
      <c r="AT110" s="815">
        <f t="shared" si="28"/>
        <v>0</v>
      </c>
      <c r="AU110" s="815">
        <f t="shared" si="28"/>
        <v>0</v>
      </c>
      <c r="AV110" s="815">
        <f t="shared" si="28"/>
        <v>0</v>
      </c>
      <c r="AW110" s="815">
        <f t="shared" si="28"/>
        <v>0</v>
      </c>
      <c r="AX110" s="815">
        <f t="shared" si="28"/>
        <v>0</v>
      </c>
      <c r="AY110" s="815">
        <f t="shared" si="28"/>
        <v>0</v>
      </c>
      <c r="AZ110" s="817">
        <v>31</v>
      </c>
    </row>
    <row r="111" spans="31:52" x14ac:dyDescent="0.25">
      <c r="AE111" s="814">
        <v>30</v>
      </c>
      <c r="AF111" s="815">
        <f t="shared" ref="AF111:AY111" si="29">AF110+AF62</f>
        <v>10</v>
      </c>
      <c r="AG111" s="815">
        <f t="shared" si="29"/>
        <v>0</v>
      </c>
      <c r="AH111" s="815">
        <f t="shared" si="29"/>
        <v>0</v>
      </c>
      <c r="AI111" s="815">
        <f t="shared" si="29"/>
        <v>0</v>
      </c>
      <c r="AJ111" s="815">
        <f t="shared" si="29"/>
        <v>0</v>
      </c>
      <c r="AK111" s="815">
        <f t="shared" si="29"/>
        <v>0</v>
      </c>
      <c r="AL111" s="815">
        <f t="shared" si="29"/>
        <v>0</v>
      </c>
      <c r="AM111" s="815">
        <f t="shared" si="29"/>
        <v>0</v>
      </c>
      <c r="AN111" s="815">
        <f t="shared" si="29"/>
        <v>0</v>
      </c>
      <c r="AO111" s="815">
        <f t="shared" si="29"/>
        <v>0</v>
      </c>
      <c r="AP111" s="815">
        <f t="shared" si="29"/>
        <v>0</v>
      </c>
      <c r="AQ111" s="815">
        <f t="shared" si="29"/>
        <v>0</v>
      </c>
      <c r="AR111" s="815">
        <f t="shared" si="29"/>
        <v>0</v>
      </c>
      <c r="AS111" s="815">
        <f t="shared" si="29"/>
        <v>0</v>
      </c>
      <c r="AT111" s="815">
        <f t="shared" si="29"/>
        <v>0</v>
      </c>
      <c r="AU111" s="815">
        <f t="shared" si="29"/>
        <v>0</v>
      </c>
      <c r="AV111" s="815">
        <f t="shared" si="29"/>
        <v>0</v>
      </c>
      <c r="AW111" s="815">
        <f t="shared" si="29"/>
        <v>0</v>
      </c>
      <c r="AX111" s="815">
        <f t="shared" si="29"/>
        <v>0</v>
      </c>
      <c r="AY111" s="815">
        <f t="shared" si="29"/>
        <v>0</v>
      </c>
      <c r="AZ111" s="817">
        <v>30</v>
      </c>
    </row>
    <row r="112" spans="31:52" x14ac:dyDescent="0.25">
      <c r="AE112" s="814">
        <v>29</v>
      </c>
      <c r="AF112" s="815">
        <f t="shared" ref="AF112:AY112" si="30">AF111+AF63</f>
        <v>10</v>
      </c>
      <c r="AG112" s="815">
        <f t="shared" si="30"/>
        <v>0</v>
      </c>
      <c r="AH112" s="815">
        <f t="shared" si="30"/>
        <v>0</v>
      </c>
      <c r="AI112" s="815">
        <f t="shared" si="30"/>
        <v>0</v>
      </c>
      <c r="AJ112" s="815">
        <f t="shared" si="30"/>
        <v>0</v>
      </c>
      <c r="AK112" s="815">
        <f t="shared" si="30"/>
        <v>0</v>
      </c>
      <c r="AL112" s="815">
        <f t="shared" si="30"/>
        <v>0</v>
      </c>
      <c r="AM112" s="815">
        <f t="shared" si="30"/>
        <v>0</v>
      </c>
      <c r="AN112" s="815">
        <f t="shared" si="30"/>
        <v>0</v>
      </c>
      <c r="AO112" s="815">
        <f t="shared" si="30"/>
        <v>0</v>
      </c>
      <c r="AP112" s="815">
        <f t="shared" si="30"/>
        <v>0</v>
      </c>
      <c r="AQ112" s="815">
        <f t="shared" si="30"/>
        <v>0</v>
      </c>
      <c r="AR112" s="815">
        <f t="shared" si="30"/>
        <v>0</v>
      </c>
      <c r="AS112" s="815">
        <f t="shared" si="30"/>
        <v>0</v>
      </c>
      <c r="AT112" s="815">
        <f t="shared" si="30"/>
        <v>0</v>
      </c>
      <c r="AU112" s="815">
        <f t="shared" si="30"/>
        <v>0</v>
      </c>
      <c r="AV112" s="815">
        <f t="shared" si="30"/>
        <v>0</v>
      </c>
      <c r="AW112" s="815">
        <f t="shared" si="30"/>
        <v>0</v>
      </c>
      <c r="AX112" s="815">
        <f t="shared" si="30"/>
        <v>0</v>
      </c>
      <c r="AY112" s="815">
        <f t="shared" si="30"/>
        <v>0</v>
      </c>
      <c r="AZ112" s="817">
        <v>29</v>
      </c>
    </row>
    <row r="113" spans="31:52" x14ac:dyDescent="0.25">
      <c r="AE113" s="814">
        <v>28</v>
      </c>
      <c r="AF113" s="815">
        <f t="shared" ref="AF113:AY113" si="31">AF112+AF64</f>
        <v>10</v>
      </c>
      <c r="AG113" s="815">
        <f t="shared" si="31"/>
        <v>0</v>
      </c>
      <c r="AH113" s="815">
        <f t="shared" si="31"/>
        <v>0</v>
      </c>
      <c r="AI113" s="815">
        <f t="shared" si="31"/>
        <v>0</v>
      </c>
      <c r="AJ113" s="815">
        <f t="shared" si="31"/>
        <v>0</v>
      </c>
      <c r="AK113" s="815">
        <f t="shared" si="31"/>
        <v>0</v>
      </c>
      <c r="AL113" s="815">
        <f t="shared" si="31"/>
        <v>0</v>
      </c>
      <c r="AM113" s="815">
        <f t="shared" si="31"/>
        <v>0</v>
      </c>
      <c r="AN113" s="815">
        <f t="shared" si="31"/>
        <v>0</v>
      </c>
      <c r="AO113" s="815">
        <f t="shared" si="31"/>
        <v>0</v>
      </c>
      <c r="AP113" s="815">
        <f t="shared" si="31"/>
        <v>0</v>
      </c>
      <c r="AQ113" s="815">
        <f t="shared" si="31"/>
        <v>0</v>
      </c>
      <c r="AR113" s="815">
        <f t="shared" si="31"/>
        <v>0</v>
      </c>
      <c r="AS113" s="815">
        <f t="shared" si="31"/>
        <v>0</v>
      </c>
      <c r="AT113" s="815">
        <f t="shared" si="31"/>
        <v>0</v>
      </c>
      <c r="AU113" s="815">
        <f t="shared" si="31"/>
        <v>0</v>
      </c>
      <c r="AV113" s="815">
        <f t="shared" si="31"/>
        <v>0</v>
      </c>
      <c r="AW113" s="815">
        <f t="shared" si="31"/>
        <v>0</v>
      </c>
      <c r="AX113" s="815">
        <f t="shared" si="31"/>
        <v>0</v>
      </c>
      <c r="AY113" s="815">
        <f t="shared" si="31"/>
        <v>0</v>
      </c>
      <c r="AZ113" s="817">
        <v>28</v>
      </c>
    </row>
    <row r="114" spans="31:52" x14ac:dyDescent="0.25">
      <c r="AE114" s="814">
        <v>27</v>
      </c>
      <c r="AF114" s="815">
        <f t="shared" ref="AF114:AY114" si="32">AF113+AF65</f>
        <v>10</v>
      </c>
      <c r="AG114" s="815">
        <f t="shared" si="32"/>
        <v>0</v>
      </c>
      <c r="AH114" s="815">
        <f t="shared" si="32"/>
        <v>0</v>
      </c>
      <c r="AI114" s="815">
        <f t="shared" si="32"/>
        <v>0</v>
      </c>
      <c r="AJ114" s="815">
        <f t="shared" si="32"/>
        <v>0</v>
      </c>
      <c r="AK114" s="815">
        <f t="shared" si="32"/>
        <v>0</v>
      </c>
      <c r="AL114" s="815">
        <f t="shared" si="32"/>
        <v>0</v>
      </c>
      <c r="AM114" s="815">
        <f t="shared" si="32"/>
        <v>0</v>
      </c>
      <c r="AN114" s="815">
        <f t="shared" si="32"/>
        <v>0</v>
      </c>
      <c r="AO114" s="815">
        <f t="shared" si="32"/>
        <v>0</v>
      </c>
      <c r="AP114" s="815">
        <f t="shared" si="32"/>
        <v>0</v>
      </c>
      <c r="AQ114" s="815">
        <f t="shared" si="32"/>
        <v>0</v>
      </c>
      <c r="AR114" s="815">
        <f t="shared" si="32"/>
        <v>0</v>
      </c>
      <c r="AS114" s="815">
        <f t="shared" si="32"/>
        <v>0</v>
      </c>
      <c r="AT114" s="815">
        <f t="shared" si="32"/>
        <v>0</v>
      </c>
      <c r="AU114" s="815">
        <f t="shared" si="32"/>
        <v>0</v>
      </c>
      <c r="AV114" s="815">
        <f t="shared" si="32"/>
        <v>0</v>
      </c>
      <c r="AW114" s="815">
        <f t="shared" si="32"/>
        <v>0</v>
      </c>
      <c r="AX114" s="815">
        <f t="shared" si="32"/>
        <v>0</v>
      </c>
      <c r="AY114" s="815">
        <f t="shared" si="32"/>
        <v>0</v>
      </c>
      <c r="AZ114" s="817">
        <v>27</v>
      </c>
    </row>
    <row r="115" spans="31:52" x14ac:dyDescent="0.25">
      <c r="AE115" s="814">
        <v>26</v>
      </c>
      <c r="AF115" s="815">
        <f t="shared" ref="AF115:AY115" si="33">AF114+AF66</f>
        <v>10</v>
      </c>
      <c r="AG115" s="815">
        <f t="shared" si="33"/>
        <v>0</v>
      </c>
      <c r="AH115" s="815">
        <f t="shared" si="33"/>
        <v>0</v>
      </c>
      <c r="AI115" s="815">
        <f t="shared" si="33"/>
        <v>0</v>
      </c>
      <c r="AJ115" s="815">
        <f t="shared" si="33"/>
        <v>0</v>
      </c>
      <c r="AK115" s="815">
        <f t="shared" si="33"/>
        <v>0</v>
      </c>
      <c r="AL115" s="815">
        <f t="shared" si="33"/>
        <v>0</v>
      </c>
      <c r="AM115" s="815">
        <f t="shared" si="33"/>
        <v>0</v>
      </c>
      <c r="AN115" s="815">
        <f t="shared" si="33"/>
        <v>0</v>
      </c>
      <c r="AO115" s="815">
        <f t="shared" si="33"/>
        <v>0</v>
      </c>
      <c r="AP115" s="815">
        <f t="shared" si="33"/>
        <v>0</v>
      </c>
      <c r="AQ115" s="815">
        <f t="shared" si="33"/>
        <v>0</v>
      </c>
      <c r="AR115" s="815">
        <f t="shared" si="33"/>
        <v>0</v>
      </c>
      <c r="AS115" s="815">
        <f t="shared" si="33"/>
        <v>0</v>
      </c>
      <c r="AT115" s="815">
        <f t="shared" si="33"/>
        <v>0</v>
      </c>
      <c r="AU115" s="815">
        <f t="shared" si="33"/>
        <v>0</v>
      </c>
      <c r="AV115" s="815">
        <f t="shared" si="33"/>
        <v>0</v>
      </c>
      <c r="AW115" s="815">
        <f t="shared" si="33"/>
        <v>0</v>
      </c>
      <c r="AX115" s="815">
        <f t="shared" si="33"/>
        <v>0</v>
      </c>
      <c r="AY115" s="815">
        <f t="shared" si="33"/>
        <v>0</v>
      </c>
      <c r="AZ115" s="817">
        <v>26</v>
      </c>
    </row>
    <row r="116" spans="31:52" x14ac:dyDescent="0.25">
      <c r="AE116" s="814">
        <v>25</v>
      </c>
      <c r="AF116" s="815">
        <f t="shared" ref="AF116:AY116" si="34">AF115+AF67</f>
        <v>10</v>
      </c>
      <c r="AG116" s="815">
        <f t="shared" si="34"/>
        <v>0</v>
      </c>
      <c r="AH116" s="815">
        <f t="shared" si="34"/>
        <v>0</v>
      </c>
      <c r="AI116" s="815">
        <f t="shared" si="34"/>
        <v>0</v>
      </c>
      <c r="AJ116" s="815">
        <f t="shared" si="34"/>
        <v>0</v>
      </c>
      <c r="AK116" s="815">
        <f t="shared" si="34"/>
        <v>0</v>
      </c>
      <c r="AL116" s="815">
        <f t="shared" si="34"/>
        <v>0</v>
      </c>
      <c r="AM116" s="815">
        <f t="shared" si="34"/>
        <v>0</v>
      </c>
      <c r="AN116" s="815">
        <f t="shared" si="34"/>
        <v>0</v>
      </c>
      <c r="AO116" s="815">
        <f t="shared" si="34"/>
        <v>0</v>
      </c>
      <c r="AP116" s="815">
        <f t="shared" si="34"/>
        <v>0</v>
      </c>
      <c r="AQ116" s="815">
        <f t="shared" si="34"/>
        <v>0</v>
      </c>
      <c r="AR116" s="815">
        <f t="shared" si="34"/>
        <v>0</v>
      </c>
      <c r="AS116" s="815">
        <f t="shared" si="34"/>
        <v>0</v>
      </c>
      <c r="AT116" s="815">
        <f t="shared" si="34"/>
        <v>0</v>
      </c>
      <c r="AU116" s="815">
        <f t="shared" si="34"/>
        <v>0</v>
      </c>
      <c r="AV116" s="815">
        <f t="shared" si="34"/>
        <v>0</v>
      </c>
      <c r="AW116" s="815">
        <f t="shared" si="34"/>
        <v>0</v>
      </c>
      <c r="AX116" s="815">
        <f t="shared" si="34"/>
        <v>0</v>
      </c>
      <c r="AY116" s="815">
        <f t="shared" si="34"/>
        <v>0</v>
      </c>
      <c r="AZ116" s="817">
        <v>25</v>
      </c>
    </row>
    <row r="117" spans="31:52" x14ac:dyDescent="0.25">
      <c r="AE117" s="814">
        <v>24</v>
      </c>
      <c r="AF117" s="815">
        <f t="shared" ref="AF117:AY117" si="35">AF116+AF68</f>
        <v>10</v>
      </c>
      <c r="AG117" s="815">
        <f t="shared" si="35"/>
        <v>0</v>
      </c>
      <c r="AH117" s="815">
        <f t="shared" si="35"/>
        <v>0</v>
      </c>
      <c r="AI117" s="815">
        <f t="shared" si="35"/>
        <v>0</v>
      </c>
      <c r="AJ117" s="815">
        <f t="shared" si="35"/>
        <v>0</v>
      </c>
      <c r="AK117" s="815">
        <f t="shared" si="35"/>
        <v>0</v>
      </c>
      <c r="AL117" s="815">
        <f t="shared" si="35"/>
        <v>0</v>
      </c>
      <c r="AM117" s="815">
        <f t="shared" si="35"/>
        <v>0</v>
      </c>
      <c r="AN117" s="815">
        <f t="shared" si="35"/>
        <v>0</v>
      </c>
      <c r="AO117" s="815">
        <f t="shared" si="35"/>
        <v>0</v>
      </c>
      <c r="AP117" s="815">
        <f t="shared" si="35"/>
        <v>0</v>
      </c>
      <c r="AQ117" s="815">
        <f t="shared" si="35"/>
        <v>0</v>
      </c>
      <c r="AR117" s="815">
        <f t="shared" si="35"/>
        <v>0</v>
      </c>
      <c r="AS117" s="815">
        <f t="shared" si="35"/>
        <v>0</v>
      </c>
      <c r="AT117" s="815">
        <f t="shared" si="35"/>
        <v>0</v>
      </c>
      <c r="AU117" s="815">
        <f t="shared" si="35"/>
        <v>0</v>
      </c>
      <c r="AV117" s="815">
        <f t="shared" si="35"/>
        <v>0</v>
      </c>
      <c r="AW117" s="815">
        <f t="shared" si="35"/>
        <v>0</v>
      </c>
      <c r="AX117" s="815">
        <f t="shared" si="35"/>
        <v>0</v>
      </c>
      <c r="AY117" s="815">
        <f t="shared" si="35"/>
        <v>0</v>
      </c>
      <c r="AZ117" s="817">
        <v>24</v>
      </c>
    </row>
    <row r="118" spans="31:52" x14ac:dyDescent="0.25">
      <c r="AE118" s="814">
        <v>23</v>
      </c>
      <c r="AF118" s="815">
        <f t="shared" ref="AF118:AY118" si="36">AF117+AF69</f>
        <v>10</v>
      </c>
      <c r="AG118" s="815">
        <f t="shared" si="36"/>
        <v>0</v>
      </c>
      <c r="AH118" s="815">
        <f t="shared" si="36"/>
        <v>0</v>
      </c>
      <c r="AI118" s="815">
        <f t="shared" si="36"/>
        <v>0</v>
      </c>
      <c r="AJ118" s="815">
        <f t="shared" si="36"/>
        <v>0</v>
      </c>
      <c r="AK118" s="815">
        <f t="shared" si="36"/>
        <v>0</v>
      </c>
      <c r="AL118" s="815">
        <f t="shared" si="36"/>
        <v>0</v>
      </c>
      <c r="AM118" s="815">
        <f t="shared" si="36"/>
        <v>0</v>
      </c>
      <c r="AN118" s="815">
        <f t="shared" si="36"/>
        <v>0</v>
      </c>
      <c r="AO118" s="815">
        <f t="shared" si="36"/>
        <v>0</v>
      </c>
      <c r="AP118" s="815">
        <f t="shared" si="36"/>
        <v>0</v>
      </c>
      <c r="AQ118" s="815">
        <f t="shared" si="36"/>
        <v>0</v>
      </c>
      <c r="AR118" s="815">
        <f t="shared" si="36"/>
        <v>0</v>
      </c>
      <c r="AS118" s="815">
        <f t="shared" si="36"/>
        <v>0</v>
      </c>
      <c r="AT118" s="815">
        <f t="shared" si="36"/>
        <v>0</v>
      </c>
      <c r="AU118" s="815">
        <f t="shared" si="36"/>
        <v>0</v>
      </c>
      <c r="AV118" s="815">
        <f t="shared" si="36"/>
        <v>0</v>
      </c>
      <c r="AW118" s="815">
        <f t="shared" si="36"/>
        <v>0</v>
      </c>
      <c r="AX118" s="815">
        <f t="shared" si="36"/>
        <v>0</v>
      </c>
      <c r="AY118" s="815">
        <f t="shared" si="36"/>
        <v>0</v>
      </c>
      <c r="AZ118" s="817">
        <v>23</v>
      </c>
    </row>
    <row r="119" spans="31:52" x14ac:dyDescent="0.25">
      <c r="AE119" s="814">
        <v>22</v>
      </c>
      <c r="AF119" s="815">
        <f t="shared" ref="AF119:AY119" si="37">AF118+AF70</f>
        <v>10</v>
      </c>
      <c r="AG119" s="815">
        <f t="shared" si="37"/>
        <v>0</v>
      </c>
      <c r="AH119" s="815">
        <f t="shared" si="37"/>
        <v>0</v>
      </c>
      <c r="AI119" s="815">
        <f t="shared" si="37"/>
        <v>0</v>
      </c>
      <c r="AJ119" s="815">
        <f t="shared" si="37"/>
        <v>0</v>
      </c>
      <c r="AK119" s="815">
        <f t="shared" si="37"/>
        <v>0</v>
      </c>
      <c r="AL119" s="815">
        <f t="shared" si="37"/>
        <v>0</v>
      </c>
      <c r="AM119" s="815">
        <f t="shared" si="37"/>
        <v>0</v>
      </c>
      <c r="AN119" s="815">
        <f t="shared" si="37"/>
        <v>0</v>
      </c>
      <c r="AO119" s="815">
        <f t="shared" si="37"/>
        <v>0</v>
      </c>
      <c r="AP119" s="815">
        <f t="shared" si="37"/>
        <v>0</v>
      </c>
      <c r="AQ119" s="815">
        <f t="shared" si="37"/>
        <v>0</v>
      </c>
      <c r="AR119" s="815">
        <f t="shared" si="37"/>
        <v>0</v>
      </c>
      <c r="AS119" s="815">
        <f t="shared" si="37"/>
        <v>0</v>
      </c>
      <c r="AT119" s="815">
        <f t="shared" si="37"/>
        <v>0</v>
      </c>
      <c r="AU119" s="815">
        <f t="shared" si="37"/>
        <v>0</v>
      </c>
      <c r="AV119" s="815">
        <f t="shared" si="37"/>
        <v>0</v>
      </c>
      <c r="AW119" s="815">
        <f t="shared" si="37"/>
        <v>0</v>
      </c>
      <c r="AX119" s="815">
        <f t="shared" si="37"/>
        <v>0</v>
      </c>
      <c r="AY119" s="815">
        <f t="shared" si="37"/>
        <v>0</v>
      </c>
      <c r="AZ119" s="817">
        <v>22</v>
      </c>
    </row>
    <row r="120" spans="31:52" x14ac:dyDescent="0.25">
      <c r="AE120" s="814">
        <v>21</v>
      </c>
      <c r="AF120" s="815">
        <f t="shared" ref="AF120:AY120" si="38">AF119+AF71</f>
        <v>10</v>
      </c>
      <c r="AG120" s="815">
        <f t="shared" si="38"/>
        <v>0</v>
      </c>
      <c r="AH120" s="815">
        <f t="shared" si="38"/>
        <v>0</v>
      </c>
      <c r="AI120" s="815">
        <f t="shared" si="38"/>
        <v>0</v>
      </c>
      <c r="AJ120" s="815">
        <f t="shared" si="38"/>
        <v>0</v>
      </c>
      <c r="AK120" s="815">
        <f t="shared" si="38"/>
        <v>0</v>
      </c>
      <c r="AL120" s="815">
        <f t="shared" si="38"/>
        <v>0</v>
      </c>
      <c r="AM120" s="815">
        <f t="shared" si="38"/>
        <v>0</v>
      </c>
      <c r="AN120" s="815">
        <f t="shared" si="38"/>
        <v>0</v>
      </c>
      <c r="AO120" s="815">
        <f t="shared" si="38"/>
        <v>0</v>
      </c>
      <c r="AP120" s="815">
        <f t="shared" si="38"/>
        <v>0</v>
      </c>
      <c r="AQ120" s="815">
        <f t="shared" si="38"/>
        <v>0</v>
      </c>
      <c r="AR120" s="815">
        <f t="shared" si="38"/>
        <v>0</v>
      </c>
      <c r="AS120" s="815">
        <f t="shared" si="38"/>
        <v>0</v>
      </c>
      <c r="AT120" s="815">
        <f t="shared" si="38"/>
        <v>0</v>
      </c>
      <c r="AU120" s="815">
        <f t="shared" si="38"/>
        <v>0</v>
      </c>
      <c r="AV120" s="815">
        <f t="shared" si="38"/>
        <v>0</v>
      </c>
      <c r="AW120" s="815">
        <f t="shared" si="38"/>
        <v>0</v>
      </c>
      <c r="AX120" s="815">
        <f t="shared" si="38"/>
        <v>0</v>
      </c>
      <c r="AY120" s="815">
        <f t="shared" si="38"/>
        <v>0</v>
      </c>
      <c r="AZ120" s="817">
        <v>21</v>
      </c>
    </row>
    <row r="121" spans="31:52" x14ac:dyDescent="0.25">
      <c r="AE121" s="814">
        <v>20</v>
      </c>
      <c r="AF121" s="815">
        <f t="shared" ref="AF121:AY121" si="39">AF120+AF72</f>
        <v>10</v>
      </c>
      <c r="AG121" s="815">
        <f t="shared" si="39"/>
        <v>0</v>
      </c>
      <c r="AH121" s="815">
        <f t="shared" si="39"/>
        <v>0</v>
      </c>
      <c r="AI121" s="815">
        <f t="shared" si="39"/>
        <v>0</v>
      </c>
      <c r="AJ121" s="815">
        <f t="shared" si="39"/>
        <v>0</v>
      </c>
      <c r="AK121" s="815">
        <f t="shared" si="39"/>
        <v>0</v>
      </c>
      <c r="AL121" s="815">
        <f t="shared" si="39"/>
        <v>0</v>
      </c>
      <c r="AM121" s="815">
        <f t="shared" si="39"/>
        <v>0</v>
      </c>
      <c r="AN121" s="815">
        <f t="shared" si="39"/>
        <v>0</v>
      </c>
      <c r="AO121" s="815">
        <f t="shared" si="39"/>
        <v>0</v>
      </c>
      <c r="AP121" s="815">
        <f t="shared" si="39"/>
        <v>0</v>
      </c>
      <c r="AQ121" s="815">
        <f t="shared" si="39"/>
        <v>0</v>
      </c>
      <c r="AR121" s="815">
        <f t="shared" si="39"/>
        <v>0</v>
      </c>
      <c r="AS121" s="815">
        <f t="shared" si="39"/>
        <v>0</v>
      </c>
      <c r="AT121" s="815">
        <f t="shared" si="39"/>
        <v>0</v>
      </c>
      <c r="AU121" s="815">
        <f t="shared" si="39"/>
        <v>0</v>
      </c>
      <c r="AV121" s="815">
        <f t="shared" si="39"/>
        <v>0</v>
      </c>
      <c r="AW121" s="815">
        <f t="shared" si="39"/>
        <v>0</v>
      </c>
      <c r="AX121" s="815">
        <f t="shared" si="39"/>
        <v>0</v>
      </c>
      <c r="AY121" s="815">
        <f t="shared" si="39"/>
        <v>0</v>
      </c>
      <c r="AZ121" s="817">
        <v>20</v>
      </c>
    </row>
    <row r="122" spans="31:52" x14ac:dyDescent="0.25">
      <c r="AE122" s="814">
        <v>19</v>
      </c>
      <c r="AF122" s="815">
        <f t="shared" ref="AF122:AY122" si="40">AF121+AF73</f>
        <v>10</v>
      </c>
      <c r="AG122" s="815">
        <f t="shared" si="40"/>
        <v>0</v>
      </c>
      <c r="AH122" s="815">
        <f t="shared" si="40"/>
        <v>0</v>
      </c>
      <c r="AI122" s="815">
        <f t="shared" si="40"/>
        <v>0</v>
      </c>
      <c r="AJ122" s="815">
        <f t="shared" si="40"/>
        <v>0</v>
      </c>
      <c r="AK122" s="815">
        <f t="shared" si="40"/>
        <v>0</v>
      </c>
      <c r="AL122" s="815">
        <f t="shared" si="40"/>
        <v>0</v>
      </c>
      <c r="AM122" s="815">
        <f t="shared" si="40"/>
        <v>0</v>
      </c>
      <c r="AN122" s="815">
        <f t="shared" si="40"/>
        <v>0</v>
      </c>
      <c r="AO122" s="815">
        <f t="shared" si="40"/>
        <v>0</v>
      </c>
      <c r="AP122" s="815">
        <f t="shared" si="40"/>
        <v>0</v>
      </c>
      <c r="AQ122" s="815">
        <f t="shared" si="40"/>
        <v>0</v>
      </c>
      <c r="AR122" s="815">
        <f t="shared" si="40"/>
        <v>0</v>
      </c>
      <c r="AS122" s="815">
        <f t="shared" si="40"/>
        <v>0</v>
      </c>
      <c r="AT122" s="815">
        <f t="shared" si="40"/>
        <v>0</v>
      </c>
      <c r="AU122" s="815">
        <f t="shared" si="40"/>
        <v>0</v>
      </c>
      <c r="AV122" s="815">
        <f t="shared" si="40"/>
        <v>0</v>
      </c>
      <c r="AW122" s="815">
        <f t="shared" si="40"/>
        <v>0</v>
      </c>
      <c r="AX122" s="815">
        <f t="shared" si="40"/>
        <v>0</v>
      </c>
      <c r="AY122" s="815">
        <f t="shared" si="40"/>
        <v>0</v>
      </c>
      <c r="AZ122" s="817">
        <v>19</v>
      </c>
    </row>
    <row r="123" spans="31:52" x14ac:dyDescent="0.25">
      <c r="AE123" s="814">
        <v>18</v>
      </c>
      <c r="AF123" s="815">
        <f t="shared" ref="AF123:AY123" si="41">AF122+AF74</f>
        <v>10</v>
      </c>
      <c r="AG123" s="815">
        <f t="shared" si="41"/>
        <v>0</v>
      </c>
      <c r="AH123" s="815">
        <f t="shared" si="41"/>
        <v>0</v>
      </c>
      <c r="AI123" s="815">
        <f t="shared" si="41"/>
        <v>0</v>
      </c>
      <c r="AJ123" s="815">
        <f t="shared" si="41"/>
        <v>0</v>
      </c>
      <c r="AK123" s="815">
        <f t="shared" si="41"/>
        <v>0</v>
      </c>
      <c r="AL123" s="815">
        <f t="shared" si="41"/>
        <v>0</v>
      </c>
      <c r="AM123" s="815">
        <f t="shared" si="41"/>
        <v>0</v>
      </c>
      <c r="AN123" s="815">
        <f t="shared" si="41"/>
        <v>0</v>
      </c>
      <c r="AO123" s="815">
        <f t="shared" si="41"/>
        <v>0</v>
      </c>
      <c r="AP123" s="815">
        <f t="shared" si="41"/>
        <v>0</v>
      </c>
      <c r="AQ123" s="815">
        <f t="shared" si="41"/>
        <v>0</v>
      </c>
      <c r="AR123" s="815">
        <f t="shared" si="41"/>
        <v>0</v>
      </c>
      <c r="AS123" s="815">
        <f t="shared" si="41"/>
        <v>0</v>
      </c>
      <c r="AT123" s="815">
        <f t="shared" si="41"/>
        <v>0</v>
      </c>
      <c r="AU123" s="815">
        <f t="shared" si="41"/>
        <v>0</v>
      </c>
      <c r="AV123" s="815">
        <f t="shared" si="41"/>
        <v>0</v>
      </c>
      <c r="AW123" s="815">
        <f t="shared" si="41"/>
        <v>0</v>
      </c>
      <c r="AX123" s="815">
        <f t="shared" si="41"/>
        <v>0</v>
      </c>
      <c r="AY123" s="815">
        <f t="shared" si="41"/>
        <v>0</v>
      </c>
      <c r="AZ123" s="817">
        <v>18</v>
      </c>
    </row>
    <row r="124" spans="31:52" x14ac:dyDescent="0.25">
      <c r="AE124" s="814">
        <v>17</v>
      </c>
      <c r="AF124" s="815">
        <f t="shared" ref="AF124:AY124" si="42">AF123+AF75</f>
        <v>10</v>
      </c>
      <c r="AG124" s="815">
        <f t="shared" si="42"/>
        <v>0</v>
      </c>
      <c r="AH124" s="815">
        <f t="shared" si="42"/>
        <v>0</v>
      </c>
      <c r="AI124" s="815">
        <f t="shared" si="42"/>
        <v>0</v>
      </c>
      <c r="AJ124" s="815">
        <f t="shared" si="42"/>
        <v>0</v>
      </c>
      <c r="AK124" s="815">
        <f t="shared" si="42"/>
        <v>0</v>
      </c>
      <c r="AL124" s="815">
        <f t="shared" si="42"/>
        <v>0</v>
      </c>
      <c r="AM124" s="815">
        <f t="shared" si="42"/>
        <v>0</v>
      </c>
      <c r="AN124" s="815">
        <f t="shared" si="42"/>
        <v>0</v>
      </c>
      <c r="AO124" s="815">
        <f t="shared" si="42"/>
        <v>0</v>
      </c>
      <c r="AP124" s="815">
        <f t="shared" si="42"/>
        <v>0</v>
      </c>
      <c r="AQ124" s="815">
        <f t="shared" si="42"/>
        <v>0</v>
      </c>
      <c r="AR124" s="815">
        <f t="shared" si="42"/>
        <v>0</v>
      </c>
      <c r="AS124" s="815">
        <f t="shared" si="42"/>
        <v>0</v>
      </c>
      <c r="AT124" s="815">
        <f t="shared" si="42"/>
        <v>0</v>
      </c>
      <c r="AU124" s="815">
        <f t="shared" si="42"/>
        <v>0</v>
      </c>
      <c r="AV124" s="815">
        <f t="shared" si="42"/>
        <v>0</v>
      </c>
      <c r="AW124" s="815">
        <f t="shared" si="42"/>
        <v>0</v>
      </c>
      <c r="AX124" s="815">
        <f t="shared" si="42"/>
        <v>0</v>
      </c>
      <c r="AY124" s="815">
        <f t="shared" si="42"/>
        <v>0</v>
      </c>
      <c r="AZ124" s="817">
        <v>17</v>
      </c>
    </row>
    <row r="125" spans="31:52" x14ac:dyDescent="0.25">
      <c r="AE125" s="814">
        <v>16</v>
      </c>
      <c r="AF125" s="815">
        <f t="shared" ref="AF125:AY125" si="43">AF124+AF76</f>
        <v>10</v>
      </c>
      <c r="AG125" s="815">
        <f t="shared" si="43"/>
        <v>0</v>
      </c>
      <c r="AH125" s="815">
        <f t="shared" si="43"/>
        <v>0</v>
      </c>
      <c r="AI125" s="815">
        <f t="shared" si="43"/>
        <v>0</v>
      </c>
      <c r="AJ125" s="815">
        <f t="shared" si="43"/>
        <v>0</v>
      </c>
      <c r="AK125" s="815">
        <f t="shared" si="43"/>
        <v>0</v>
      </c>
      <c r="AL125" s="815">
        <f t="shared" si="43"/>
        <v>0</v>
      </c>
      <c r="AM125" s="815">
        <f t="shared" si="43"/>
        <v>0</v>
      </c>
      <c r="AN125" s="815">
        <f t="shared" si="43"/>
        <v>0</v>
      </c>
      <c r="AO125" s="815">
        <f t="shared" si="43"/>
        <v>0</v>
      </c>
      <c r="AP125" s="815">
        <f t="shared" si="43"/>
        <v>0</v>
      </c>
      <c r="AQ125" s="815">
        <f t="shared" si="43"/>
        <v>0</v>
      </c>
      <c r="AR125" s="815">
        <f t="shared" si="43"/>
        <v>0</v>
      </c>
      <c r="AS125" s="815">
        <f t="shared" si="43"/>
        <v>0</v>
      </c>
      <c r="AT125" s="815">
        <f t="shared" si="43"/>
        <v>0</v>
      </c>
      <c r="AU125" s="815">
        <f t="shared" si="43"/>
        <v>0</v>
      </c>
      <c r="AV125" s="815">
        <f t="shared" si="43"/>
        <v>0</v>
      </c>
      <c r="AW125" s="815">
        <f t="shared" si="43"/>
        <v>0</v>
      </c>
      <c r="AX125" s="815">
        <f t="shared" si="43"/>
        <v>0</v>
      </c>
      <c r="AY125" s="815">
        <f t="shared" si="43"/>
        <v>0</v>
      </c>
      <c r="AZ125" s="817">
        <v>16</v>
      </c>
    </row>
    <row r="126" spans="31:52" x14ac:dyDescent="0.25">
      <c r="AE126" s="814">
        <v>15</v>
      </c>
      <c r="AF126" s="815">
        <f t="shared" ref="AF126:AY126" si="44">AF125+AF77</f>
        <v>10</v>
      </c>
      <c r="AG126" s="815">
        <f t="shared" si="44"/>
        <v>0</v>
      </c>
      <c r="AH126" s="815">
        <f t="shared" si="44"/>
        <v>0</v>
      </c>
      <c r="AI126" s="815">
        <f t="shared" si="44"/>
        <v>0</v>
      </c>
      <c r="AJ126" s="815">
        <f t="shared" si="44"/>
        <v>0</v>
      </c>
      <c r="AK126" s="815">
        <f t="shared" si="44"/>
        <v>0</v>
      </c>
      <c r="AL126" s="815">
        <f t="shared" si="44"/>
        <v>0</v>
      </c>
      <c r="AM126" s="815">
        <f t="shared" si="44"/>
        <v>0</v>
      </c>
      <c r="AN126" s="815">
        <f t="shared" si="44"/>
        <v>0</v>
      </c>
      <c r="AO126" s="815">
        <f t="shared" si="44"/>
        <v>0</v>
      </c>
      <c r="AP126" s="815">
        <f t="shared" si="44"/>
        <v>0</v>
      </c>
      <c r="AQ126" s="815">
        <f t="shared" si="44"/>
        <v>0</v>
      </c>
      <c r="AR126" s="815">
        <f t="shared" si="44"/>
        <v>0</v>
      </c>
      <c r="AS126" s="815">
        <f t="shared" si="44"/>
        <v>0</v>
      </c>
      <c r="AT126" s="815">
        <f t="shared" si="44"/>
        <v>0</v>
      </c>
      <c r="AU126" s="815">
        <f t="shared" si="44"/>
        <v>0</v>
      </c>
      <c r="AV126" s="815">
        <f t="shared" si="44"/>
        <v>0</v>
      </c>
      <c r="AW126" s="815">
        <f t="shared" si="44"/>
        <v>0</v>
      </c>
      <c r="AX126" s="815">
        <f t="shared" si="44"/>
        <v>0</v>
      </c>
      <c r="AY126" s="815">
        <f t="shared" si="44"/>
        <v>0</v>
      </c>
      <c r="AZ126" s="817">
        <v>15</v>
      </c>
    </row>
    <row r="127" spans="31:52" x14ac:dyDescent="0.25">
      <c r="AE127" s="814">
        <v>14</v>
      </c>
      <c r="AF127" s="815">
        <f t="shared" ref="AF127:AY127" si="45">AF126+AF78</f>
        <v>10</v>
      </c>
      <c r="AG127" s="815">
        <f t="shared" si="45"/>
        <v>0</v>
      </c>
      <c r="AH127" s="815">
        <f t="shared" si="45"/>
        <v>0</v>
      </c>
      <c r="AI127" s="815">
        <f t="shared" si="45"/>
        <v>0</v>
      </c>
      <c r="AJ127" s="815">
        <f t="shared" si="45"/>
        <v>0</v>
      </c>
      <c r="AK127" s="815">
        <f t="shared" si="45"/>
        <v>0</v>
      </c>
      <c r="AL127" s="815">
        <f t="shared" si="45"/>
        <v>0</v>
      </c>
      <c r="AM127" s="815">
        <f t="shared" si="45"/>
        <v>0</v>
      </c>
      <c r="AN127" s="815">
        <f t="shared" si="45"/>
        <v>0</v>
      </c>
      <c r="AO127" s="815">
        <f t="shared" si="45"/>
        <v>0</v>
      </c>
      <c r="AP127" s="815">
        <f t="shared" si="45"/>
        <v>0</v>
      </c>
      <c r="AQ127" s="815">
        <f t="shared" si="45"/>
        <v>0</v>
      </c>
      <c r="AR127" s="815">
        <f t="shared" si="45"/>
        <v>0</v>
      </c>
      <c r="AS127" s="815">
        <f t="shared" si="45"/>
        <v>0</v>
      </c>
      <c r="AT127" s="815">
        <f t="shared" si="45"/>
        <v>0</v>
      </c>
      <c r="AU127" s="815">
        <f t="shared" si="45"/>
        <v>0</v>
      </c>
      <c r="AV127" s="815">
        <f t="shared" si="45"/>
        <v>0</v>
      </c>
      <c r="AW127" s="815">
        <f t="shared" si="45"/>
        <v>0</v>
      </c>
      <c r="AX127" s="815">
        <f t="shared" si="45"/>
        <v>0</v>
      </c>
      <c r="AY127" s="815">
        <f t="shared" si="45"/>
        <v>0</v>
      </c>
      <c r="AZ127" s="817">
        <v>14</v>
      </c>
    </row>
    <row r="128" spans="31:52" x14ac:dyDescent="0.25">
      <c r="AE128" s="814">
        <v>13</v>
      </c>
      <c r="AF128" s="815">
        <f t="shared" ref="AF128:AY128" si="46">AF127+AF79</f>
        <v>10</v>
      </c>
      <c r="AG128" s="815">
        <f t="shared" si="46"/>
        <v>0</v>
      </c>
      <c r="AH128" s="815">
        <f t="shared" si="46"/>
        <v>0</v>
      </c>
      <c r="AI128" s="815">
        <f t="shared" si="46"/>
        <v>0</v>
      </c>
      <c r="AJ128" s="815">
        <f t="shared" si="46"/>
        <v>0</v>
      </c>
      <c r="AK128" s="815">
        <f t="shared" si="46"/>
        <v>0</v>
      </c>
      <c r="AL128" s="815">
        <f t="shared" si="46"/>
        <v>0</v>
      </c>
      <c r="AM128" s="815">
        <f t="shared" si="46"/>
        <v>0</v>
      </c>
      <c r="AN128" s="815">
        <f t="shared" si="46"/>
        <v>0</v>
      </c>
      <c r="AO128" s="815">
        <f t="shared" si="46"/>
        <v>0</v>
      </c>
      <c r="AP128" s="815">
        <f t="shared" si="46"/>
        <v>0</v>
      </c>
      <c r="AQ128" s="815">
        <f t="shared" si="46"/>
        <v>0</v>
      </c>
      <c r="AR128" s="815">
        <f t="shared" si="46"/>
        <v>0</v>
      </c>
      <c r="AS128" s="815">
        <f t="shared" si="46"/>
        <v>0</v>
      </c>
      <c r="AT128" s="815">
        <f t="shared" si="46"/>
        <v>0</v>
      </c>
      <c r="AU128" s="815">
        <f t="shared" si="46"/>
        <v>0</v>
      </c>
      <c r="AV128" s="815">
        <f t="shared" si="46"/>
        <v>0</v>
      </c>
      <c r="AW128" s="815">
        <f t="shared" si="46"/>
        <v>0</v>
      </c>
      <c r="AX128" s="815">
        <f t="shared" si="46"/>
        <v>0</v>
      </c>
      <c r="AY128" s="815">
        <f t="shared" si="46"/>
        <v>0</v>
      </c>
      <c r="AZ128" s="817">
        <v>13</v>
      </c>
    </row>
    <row r="129" spans="31:52" x14ac:dyDescent="0.25">
      <c r="AE129" s="814">
        <v>12</v>
      </c>
      <c r="AF129" s="815">
        <f t="shared" ref="AF129:AY129" si="47">AF128+AF80</f>
        <v>10</v>
      </c>
      <c r="AG129" s="815">
        <f t="shared" si="47"/>
        <v>0</v>
      </c>
      <c r="AH129" s="815">
        <f t="shared" si="47"/>
        <v>0</v>
      </c>
      <c r="AI129" s="815">
        <f t="shared" si="47"/>
        <v>0</v>
      </c>
      <c r="AJ129" s="815">
        <f t="shared" si="47"/>
        <v>0</v>
      </c>
      <c r="AK129" s="815">
        <f t="shared" si="47"/>
        <v>0</v>
      </c>
      <c r="AL129" s="815">
        <f t="shared" si="47"/>
        <v>0</v>
      </c>
      <c r="AM129" s="815">
        <f t="shared" si="47"/>
        <v>0</v>
      </c>
      <c r="AN129" s="815">
        <f t="shared" si="47"/>
        <v>0</v>
      </c>
      <c r="AO129" s="815">
        <f t="shared" si="47"/>
        <v>0</v>
      </c>
      <c r="AP129" s="815">
        <f t="shared" si="47"/>
        <v>0</v>
      </c>
      <c r="AQ129" s="815">
        <f t="shared" si="47"/>
        <v>0</v>
      </c>
      <c r="AR129" s="815">
        <f t="shared" si="47"/>
        <v>0</v>
      </c>
      <c r="AS129" s="815">
        <f t="shared" si="47"/>
        <v>0</v>
      </c>
      <c r="AT129" s="815">
        <f t="shared" si="47"/>
        <v>0</v>
      </c>
      <c r="AU129" s="815">
        <f t="shared" si="47"/>
        <v>0</v>
      </c>
      <c r="AV129" s="815">
        <f t="shared" si="47"/>
        <v>0</v>
      </c>
      <c r="AW129" s="815">
        <f t="shared" si="47"/>
        <v>0</v>
      </c>
      <c r="AX129" s="815">
        <f t="shared" si="47"/>
        <v>0</v>
      </c>
      <c r="AY129" s="815">
        <f t="shared" si="47"/>
        <v>0</v>
      </c>
      <c r="AZ129" s="817">
        <v>12</v>
      </c>
    </row>
    <row r="130" spans="31:52" x14ac:dyDescent="0.25">
      <c r="AE130" s="814">
        <v>11</v>
      </c>
      <c r="AF130" s="815">
        <f t="shared" ref="AF130:AY130" si="48">AF129+AF81</f>
        <v>10</v>
      </c>
      <c r="AG130" s="815">
        <f t="shared" si="48"/>
        <v>0</v>
      </c>
      <c r="AH130" s="815">
        <f t="shared" si="48"/>
        <v>0</v>
      </c>
      <c r="AI130" s="815">
        <f t="shared" si="48"/>
        <v>0</v>
      </c>
      <c r="AJ130" s="815">
        <f t="shared" si="48"/>
        <v>0</v>
      </c>
      <c r="AK130" s="815">
        <f t="shared" si="48"/>
        <v>0</v>
      </c>
      <c r="AL130" s="815">
        <f t="shared" si="48"/>
        <v>0</v>
      </c>
      <c r="AM130" s="815">
        <f t="shared" si="48"/>
        <v>0</v>
      </c>
      <c r="AN130" s="815">
        <f t="shared" si="48"/>
        <v>0</v>
      </c>
      <c r="AO130" s="815">
        <f t="shared" si="48"/>
        <v>0</v>
      </c>
      <c r="AP130" s="815">
        <f t="shared" si="48"/>
        <v>0</v>
      </c>
      <c r="AQ130" s="815">
        <f t="shared" si="48"/>
        <v>0</v>
      </c>
      <c r="AR130" s="815">
        <f t="shared" si="48"/>
        <v>0</v>
      </c>
      <c r="AS130" s="815">
        <f t="shared" si="48"/>
        <v>0</v>
      </c>
      <c r="AT130" s="815">
        <f t="shared" si="48"/>
        <v>0</v>
      </c>
      <c r="AU130" s="815">
        <f t="shared" si="48"/>
        <v>0</v>
      </c>
      <c r="AV130" s="815">
        <f t="shared" si="48"/>
        <v>0</v>
      </c>
      <c r="AW130" s="815">
        <f t="shared" si="48"/>
        <v>0</v>
      </c>
      <c r="AX130" s="815">
        <f t="shared" si="48"/>
        <v>0</v>
      </c>
      <c r="AY130" s="815">
        <f t="shared" si="48"/>
        <v>0</v>
      </c>
      <c r="AZ130" s="817">
        <v>11</v>
      </c>
    </row>
    <row r="131" spans="31:52" x14ac:dyDescent="0.25">
      <c r="AE131" s="814">
        <v>10</v>
      </c>
      <c r="AF131" s="815">
        <f t="shared" ref="AF131:AY131" si="49">AF130+AF82</f>
        <v>10</v>
      </c>
      <c r="AG131" s="815">
        <f t="shared" si="49"/>
        <v>0</v>
      </c>
      <c r="AH131" s="815">
        <f t="shared" si="49"/>
        <v>0</v>
      </c>
      <c r="AI131" s="815">
        <f t="shared" si="49"/>
        <v>0</v>
      </c>
      <c r="AJ131" s="815">
        <f t="shared" si="49"/>
        <v>0</v>
      </c>
      <c r="AK131" s="815">
        <f t="shared" si="49"/>
        <v>0</v>
      </c>
      <c r="AL131" s="815">
        <f t="shared" si="49"/>
        <v>0</v>
      </c>
      <c r="AM131" s="815">
        <f t="shared" si="49"/>
        <v>0</v>
      </c>
      <c r="AN131" s="815">
        <f t="shared" si="49"/>
        <v>0</v>
      </c>
      <c r="AO131" s="815">
        <f t="shared" si="49"/>
        <v>0</v>
      </c>
      <c r="AP131" s="815">
        <f t="shared" si="49"/>
        <v>0</v>
      </c>
      <c r="AQ131" s="815">
        <f t="shared" si="49"/>
        <v>0</v>
      </c>
      <c r="AR131" s="815">
        <f t="shared" si="49"/>
        <v>0</v>
      </c>
      <c r="AS131" s="815">
        <f t="shared" si="49"/>
        <v>0</v>
      </c>
      <c r="AT131" s="815">
        <f t="shared" si="49"/>
        <v>0</v>
      </c>
      <c r="AU131" s="815">
        <f t="shared" si="49"/>
        <v>0</v>
      </c>
      <c r="AV131" s="815">
        <f t="shared" si="49"/>
        <v>0</v>
      </c>
      <c r="AW131" s="815">
        <f t="shared" si="49"/>
        <v>0</v>
      </c>
      <c r="AX131" s="815">
        <f t="shared" si="49"/>
        <v>0</v>
      </c>
      <c r="AY131" s="815">
        <f t="shared" si="49"/>
        <v>0</v>
      </c>
      <c r="AZ131" s="817">
        <v>10</v>
      </c>
    </row>
    <row r="132" spans="31:52" x14ac:dyDescent="0.25">
      <c r="AE132" s="814">
        <v>9</v>
      </c>
      <c r="AF132" s="815">
        <f t="shared" ref="AF132:AY132" si="50">AF131+AF83</f>
        <v>10</v>
      </c>
      <c r="AG132" s="815">
        <f t="shared" si="50"/>
        <v>0</v>
      </c>
      <c r="AH132" s="815">
        <f t="shared" si="50"/>
        <v>0</v>
      </c>
      <c r="AI132" s="815">
        <f t="shared" si="50"/>
        <v>0</v>
      </c>
      <c r="AJ132" s="815">
        <f t="shared" si="50"/>
        <v>0</v>
      </c>
      <c r="AK132" s="815">
        <f t="shared" si="50"/>
        <v>0</v>
      </c>
      <c r="AL132" s="815">
        <f t="shared" si="50"/>
        <v>0</v>
      </c>
      <c r="AM132" s="815">
        <f t="shared" si="50"/>
        <v>0</v>
      </c>
      <c r="AN132" s="815">
        <f t="shared" si="50"/>
        <v>0</v>
      </c>
      <c r="AO132" s="815">
        <f t="shared" si="50"/>
        <v>0</v>
      </c>
      <c r="AP132" s="815">
        <f t="shared" si="50"/>
        <v>0</v>
      </c>
      <c r="AQ132" s="815">
        <f t="shared" si="50"/>
        <v>0</v>
      </c>
      <c r="AR132" s="815">
        <f t="shared" si="50"/>
        <v>0</v>
      </c>
      <c r="AS132" s="815">
        <f t="shared" si="50"/>
        <v>0</v>
      </c>
      <c r="AT132" s="815">
        <f t="shared" si="50"/>
        <v>0</v>
      </c>
      <c r="AU132" s="815">
        <f t="shared" si="50"/>
        <v>0</v>
      </c>
      <c r="AV132" s="815">
        <f t="shared" si="50"/>
        <v>0</v>
      </c>
      <c r="AW132" s="815">
        <f t="shared" si="50"/>
        <v>0</v>
      </c>
      <c r="AX132" s="815">
        <f t="shared" si="50"/>
        <v>0</v>
      </c>
      <c r="AY132" s="815">
        <f t="shared" si="50"/>
        <v>0</v>
      </c>
      <c r="AZ132" s="817">
        <v>9</v>
      </c>
    </row>
    <row r="133" spans="31:52" x14ac:dyDescent="0.25">
      <c r="AE133" s="814">
        <v>8</v>
      </c>
      <c r="AF133" s="815">
        <f t="shared" ref="AF133:AY133" si="51">AF132+AF84</f>
        <v>10</v>
      </c>
      <c r="AG133" s="815">
        <f t="shared" si="51"/>
        <v>0</v>
      </c>
      <c r="AH133" s="815">
        <f t="shared" si="51"/>
        <v>0</v>
      </c>
      <c r="AI133" s="815">
        <f t="shared" si="51"/>
        <v>0</v>
      </c>
      <c r="AJ133" s="815">
        <f t="shared" si="51"/>
        <v>0</v>
      </c>
      <c r="AK133" s="815">
        <f t="shared" si="51"/>
        <v>0</v>
      </c>
      <c r="AL133" s="815">
        <f t="shared" si="51"/>
        <v>0</v>
      </c>
      <c r="AM133" s="815">
        <f t="shared" si="51"/>
        <v>0</v>
      </c>
      <c r="AN133" s="815">
        <f t="shared" si="51"/>
        <v>0</v>
      </c>
      <c r="AO133" s="815">
        <f t="shared" si="51"/>
        <v>0</v>
      </c>
      <c r="AP133" s="815">
        <f t="shared" si="51"/>
        <v>0</v>
      </c>
      <c r="AQ133" s="815">
        <f t="shared" si="51"/>
        <v>0</v>
      </c>
      <c r="AR133" s="815">
        <f t="shared" si="51"/>
        <v>0</v>
      </c>
      <c r="AS133" s="815">
        <f t="shared" si="51"/>
        <v>0</v>
      </c>
      <c r="AT133" s="815">
        <f t="shared" si="51"/>
        <v>0</v>
      </c>
      <c r="AU133" s="815">
        <f t="shared" si="51"/>
        <v>0</v>
      </c>
      <c r="AV133" s="815">
        <f t="shared" si="51"/>
        <v>0</v>
      </c>
      <c r="AW133" s="815">
        <f t="shared" si="51"/>
        <v>0</v>
      </c>
      <c r="AX133" s="815">
        <f t="shared" si="51"/>
        <v>0</v>
      </c>
      <c r="AY133" s="815">
        <f t="shared" si="51"/>
        <v>0</v>
      </c>
      <c r="AZ133" s="817">
        <v>8</v>
      </c>
    </row>
    <row r="134" spans="31:52" x14ac:dyDescent="0.25">
      <c r="AE134" s="814">
        <v>7</v>
      </c>
      <c r="AF134" s="815">
        <f t="shared" ref="AF134:AY134" si="52">AF133+AF85</f>
        <v>10</v>
      </c>
      <c r="AG134" s="815">
        <f t="shared" si="52"/>
        <v>0</v>
      </c>
      <c r="AH134" s="815">
        <f t="shared" si="52"/>
        <v>0</v>
      </c>
      <c r="AI134" s="815">
        <f t="shared" si="52"/>
        <v>0</v>
      </c>
      <c r="AJ134" s="815">
        <f t="shared" si="52"/>
        <v>0</v>
      </c>
      <c r="AK134" s="815">
        <f t="shared" si="52"/>
        <v>0</v>
      </c>
      <c r="AL134" s="815">
        <f t="shared" si="52"/>
        <v>0</v>
      </c>
      <c r="AM134" s="815">
        <f t="shared" si="52"/>
        <v>0</v>
      </c>
      <c r="AN134" s="815">
        <f t="shared" si="52"/>
        <v>0</v>
      </c>
      <c r="AO134" s="815">
        <f t="shared" si="52"/>
        <v>0</v>
      </c>
      <c r="AP134" s="815">
        <f t="shared" si="52"/>
        <v>0</v>
      </c>
      <c r="AQ134" s="815">
        <f t="shared" si="52"/>
        <v>0</v>
      </c>
      <c r="AR134" s="815">
        <f t="shared" si="52"/>
        <v>0</v>
      </c>
      <c r="AS134" s="815">
        <f t="shared" si="52"/>
        <v>0</v>
      </c>
      <c r="AT134" s="815">
        <f t="shared" si="52"/>
        <v>0</v>
      </c>
      <c r="AU134" s="815">
        <f t="shared" si="52"/>
        <v>0</v>
      </c>
      <c r="AV134" s="815">
        <f t="shared" si="52"/>
        <v>0</v>
      </c>
      <c r="AW134" s="815">
        <f t="shared" si="52"/>
        <v>0</v>
      </c>
      <c r="AX134" s="815">
        <f t="shared" si="52"/>
        <v>0</v>
      </c>
      <c r="AY134" s="815">
        <f t="shared" si="52"/>
        <v>0</v>
      </c>
      <c r="AZ134" s="817">
        <v>7</v>
      </c>
    </row>
    <row r="135" spans="31:52" x14ac:dyDescent="0.25">
      <c r="AE135" s="814">
        <v>6</v>
      </c>
      <c r="AF135" s="815">
        <f t="shared" ref="AF135:AY135" si="53">AF134+AF86</f>
        <v>10</v>
      </c>
      <c r="AG135" s="815">
        <f t="shared" si="53"/>
        <v>0</v>
      </c>
      <c r="AH135" s="815">
        <f t="shared" si="53"/>
        <v>0</v>
      </c>
      <c r="AI135" s="815">
        <f t="shared" si="53"/>
        <v>0</v>
      </c>
      <c r="AJ135" s="815">
        <f t="shared" si="53"/>
        <v>0</v>
      </c>
      <c r="AK135" s="815">
        <f t="shared" si="53"/>
        <v>0</v>
      </c>
      <c r="AL135" s="815">
        <f t="shared" si="53"/>
        <v>0</v>
      </c>
      <c r="AM135" s="815">
        <f t="shared" si="53"/>
        <v>0</v>
      </c>
      <c r="AN135" s="815">
        <f t="shared" si="53"/>
        <v>0</v>
      </c>
      <c r="AO135" s="815">
        <f t="shared" si="53"/>
        <v>0</v>
      </c>
      <c r="AP135" s="815">
        <f t="shared" si="53"/>
        <v>0</v>
      </c>
      <c r="AQ135" s="815">
        <f t="shared" si="53"/>
        <v>0</v>
      </c>
      <c r="AR135" s="815">
        <f t="shared" si="53"/>
        <v>0</v>
      </c>
      <c r="AS135" s="815">
        <f t="shared" si="53"/>
        <v>0</v>
      </c>
      <c r="AT135" s="815">
        <f t="shared" si="53"/>
        <v>0</v>
      </c>
      <c r="AU135" s="815">
        <f t="shared" si="53"/>
        <v>0</v>
      </c>
      <c r="AV135" s="815">
        <f t="shared" si="53"/>
        <v>0</v>
      </c>
      <c r="AW135" s="815">
        <f t="shared" si="53"/>
        <v>0</v>
      </c>
      <c r="AX135" s="815">
        <f t="shared" si="53"/>
        <v>0</v>
      </c>
      <c r="AY135" s="815">
        <f t="shared" si="53"/>
        <v>0</v>
      </c>
      <c r="AZ135" s="817">
        <v>6</v>
      </c>
    </row>
    <row r="136" spans="31:52" x14ac:dyDescent="0.25">
      <c r="AE136" s="814">
        <v>5</v>
      </c>
      <c r="AF136" s="815">
        <f t="shared" ref="AF136:AY136" si="54">AF135+AF87</f>
        <v>10</v>
      </c>
      <c r="AG136" s="815">
        <f t="shared" si="54"/>
        <v>0</v>
      </c>
      <c r="AH136" s="815">
        <f t="shared" si="54"/>
        <v>0</v>
      </c>
      <c r="AI136" s="815">
        <f t="shared" si="54"/>
        <v>0</v>
      </c>
      <c r="AJ136" s="815">
        <f t="shared" si="54"/>
        <v>0</v>
      </c>
      <c r="AK136" s="815">
        <f t="shared" si="54"/>
        <v>0</v>
      </c>
      <c r="AL136" s="815">
        <f t="shared" si="54"/>
        <v>0</v>
      </c>
      <c r="AM136" s="815">
        <f t="shared" si="54"/>
        <v>0</v>
      </c>
      <c r="AN136" s="815">
        <f t="shared" si="54"/>
        <v>0</v>
      </c>
      <c r="AO136" s="815">
        <f t="shared" si="54"/>
        <v>0</v>
      </c>
      <c r="AP136" s="815">
        <f t="shared" si="54"/>
        <v>0</v>
      </c>
      <c r="AQ136" s="815">
        <f t="shared" si="54"/>
        <v>0</v>
      </c>
      <c r="AR136" s="815">
        <f t="shared" si="54"/>
        <v>0</v>
      </c>
      <c r="AS136" s="815">
        <f t="shared" si="54"/>
        <v>0</v>
      </c>
      <c r="AT136" s="815">
        <f t="shared" si="54"/>
        <v>0</v>
      </c>
      <c r="AU136" s="815">
        <f t="shared" si="54"/>
        <v>0</v>
      </c>
      <c r="AV136" s="815">
        <f t="shared" si="54"/>
        <v>0</v>
      </c>
      <c r="AW136" s="815">
        <f t="shared" si="54"/>
        <v>0</v>
      </c>
      <c r="AX136" s="815">
        <f t="shared" si="54"/>
        <v>0</v>
      </c>
      <c r="AY136" s="815">
        <f t="shared" si="54"/>
        <v>0</v>
      </c>
      <c r="AZ136" s="817">
        <v>5</v>
      </c>
    </row>
    <row r="137" spans="31:52" x14ac:dyDescent="0.25">
      <c r="AE137" s="814">
        <v>4</v>
      </c>
      <c r="AF137" s="815">
        <f t="shared" ref="AF137:AY137" si="55">AF136+AF88</f>
        <v>10</v>
      </c>
      <c r="AG137" s="815">
        <f t="shared" si="55"/>
        <v>0</v>
      </c>
      <c r="AH137" s="815">
        <f t="shared" si="55"/>
        <v>0</v>
      </c>
      <c r="AI137" s="815">
        <f t="shared" si="55"/>
        <v>0</v>
      </c>
      <c r="AJ137" s="815">
        <f t="shared" si="55"/>
        <v>0</v>
      </c>
      <c r="AK137" s="815">
        <f t="shared" si="55"/>
        <v>0</v>
      </c>
      <c r="AL137" s="815">
        <f t="shared" si="55"/>
        <v>0</v>
      </c>
      <c r="AM137" s="815">
        <f t="shared" si="55"/>
        <v>0</v>
      </c>
      <c r="AN137" s="815">
        <f t="shared" si="55"/>
        <v>0</v>
      </c>
      <c r="AO137" s="815">
        <f t="shared" si="55"/>
        <v>0</v>
      </c>
      <c r="AP137" s="815">
        <f t="shared" si="55"/>
        <v>0</v>
      </c>
      <c r="AQ137" s="815">
        <f t="shared" si="55"/>
        <v>0</v>
      </c>
      <c r="AR137" s="815">
        <f t="shared" si="55"/>
        <v>0</v>
      </c>
      <c r="AS137" s="815">
        <f t="shared" si="55"/>
        <v>0</v>
      </c>
      <c r="AT137" s="815">
        <f t="shared" si="55"/>
        <v>0</v>
      </c>
      <c r="AU137" s="815">
        <f t="shared" si="55"/>
        <v>0</v>
      </c>
      <c r="AV137" s="815">
        <f t="shared" si="55"/>
        <v>0</v>
      </c>
      <c r="AW137" s="815">
        <f t="shared" si="55"/>
        <v>0</v>
      </c>
      <c r="AX137" s="815">
        <f t="shared" si="55"/>
        <v>0</v>
      </c>
      <c r="AY137" s="815">
        <f t="shared" si="55"/>
        <v>0</v>
      </c>
      <c r="AZ137" s="817">
        <v>4</v>
      </c>
    </row>
    <row r="138" spans="31:52" x14ac:dyDescent="0.25">
      <c r="AE138" s="814">
        <v>3</v>
      </c>
      <c r="AF138" s="815">
        <f t="shared" ref="AF138:AY138" si="56">AF137+AF89</f>
        <v>10</v>
      </c>
      <c r="AG138" s="815">
        <f t="shared" si="56"/>
        <v>0</v>
      </c>
      <c r="AH138" s="815">
        <f t="shared" si="56"/>
        <v>0</v>
      </c>
      <c r="AI138" s="815">
        <f t="shared" si="56"/>
        <v>0</v>
      </c>
      <c r="AJ138" s="815">
        <f t="shared" si="56"/>
        <v>0</v>
      </c>
      <c r="AK138" s="815">
        <f t="shared" si="56"/>
        <v>0</v>
      </c>
      <c r="AL138" s="815">
        <f t="shared" si="56"/>
        <v>0</v>
      </c>
      <c r="AM138" s="815">
        <f t="shared" si="56"/>
        <v>0</v>
      </c>
      <c r="AN138" s="815">
        <f t="shared" si="56"/>
        <v>0</v>
      </c>
      <c r="AO138" s="815">
        <f t="shared" si="56"/>
        <v>0</v>
      </c>
      <c r="AP138" s="815">
        <f t="shared" si="56"/>
        <v>0</v>
      </c>
      <c r="AQ138" s="815">
        <f t="shared" si="56"/>
        <v>0</v>
      </c>
      <c r="AR138" s="815">
        <f t="shared" si="56"/>
        <v>0</v>
      </c>
      <c r="AS138" s="815">
        <f t="shared" si="56"/>
        <v>0</v>
      </c>
      <c r="AT138" s="815">
        <f t="shared" si="56"/>
        <v>0</v>
      </c>
      <c r="AU138" s="815">
        <f t="shared" si="56"/>
        <v>0</v>
      </c>
      <c r="AV138" s="815">
        <f t="shared" si="56"/>
        <v>0</v>
      </c>
      <c r="AW138" s="815">
        <f t="shared" si="56"/>
        <v>0</v>
      </c>
      <c r="AX138" s="815">
        <f t="shared" si="56"/>
        <v>0</v>
      </c>
      <c r="AY138" s="815">
        <f t="shared" si="56"/>
        <v>0</v>
      </c>
      <c r="AZ138" s="817">
        <v>3</v>
      </c>
    </row>
    <row r="139" spans="31:52" x14ac:dyDescent="0.25">
      <c r="AE139" s="814">
        <v>2</v>
      </c>
      <c r="AF139" s="815">
        <f t="shared" ref="AF139:AY139" si="57">AF138+AF90</f>
        <v>10</v>
      </c>
      <c r="AG139" s="815">
        <f t="shared" si="57"/>
        <v>0</v>
      </c>
      <c r="AH139" s="815">
        <f t="shared" si="57"/>
        <v>0</v>
      </c>
      <c r="AI139" s="815">
        <f t="shared" si="57"/>
        <v>0</v>
      </c>
      <c r="AJ139" s="815">
        <f t="shared" si="57"/>
        <v>0</v>
      </c>
      <c r="AK139" s="815">
        <f t="shared" si="57"/>
        <v>0</v>
      </c>
      <c r="AL139" s="815">
        <f t="shared" si="57"/>
        <v>0</v>
      </c>
      <c r="AM139" s="815">
        <f t="shared" si="57"/>
        <v>0</v>
      </c>
      <c r="AN139" s="815">
        <f t="shared" si="57"/>
        <v>0</v>
      </c>
      <c r="AO139" s="815">
        <f t="shared" si="57"/>
        <v>0</v>
      </c>
      <c r="AP139" s="815">
        <f t="shared" si="57"/>
        <v>0</v>
      </c>
      <c r="AQ139" s="815">
        <f t="shared" si="57"/>
        <v>0</v>
      </c>
      <c r="AR139" s="815">
        <f t="shared" si="57"/>
        <v>0</v>
      </c>
      <c r="AS139" s="815">
        <f t="shared" si="57"/>
        <v>0</v>
      </c>
      <c r="AT139" s="815">
        <f t="shared" si="57"/>
        <v>0</v>
      </c>
      <c r="AU139" s="815">
        <f t="shared" si="57"/>
        <v>0</v>
      </c>
      <c r="AV139" s="815">
        <f t="shared" si="57"/>
        <v>0</v>
      </c>
      <c r="AW139" s="815">
        <f t="shared" si="57"/>
        <v>0</v>
      </c>
      <c r="AX139" s="815">
        <f t="shared" si="57"/>
        <v>0</v>
      </c>
      <c r="AY139" s="815">
        <f t="shared" si="57"/>
        <v>0</v>
      </c>
      <c r="AZ139" s="817">
        <v>2</v>
      </c>
    </row>
    <row r="140" spans="31:52" x14ac:dyDescent="0.25">
      <c r="AE140" s="814">
        <v>1</v>
      </c>
      <c r="AF140" s="815">
        <f t="shared" ref="AF140:AY140" si="58">AF139+AF91</f>
        <v>10</v>
      </c>
      <c r="AG140" s="815">
        <f t="shared" si="58"/>
        <v>0</v>
      </c>
      <c r="AH140" s="815">
        <f t="shared" si="58"/>
        <v>0</v>
      </c>
      <c r="AI140" s="815">
        <f t="shared" si="58"/>
        <v>0</v>
      </c>
      <c r="AJ140" s="815">
        <f t="shared" si="58"/>
        <v>0</v>
      </c>
      <c r="AK140" s="815">
        <f t="shared" si="58"/>
        <v>0</v>
      </c>
      <c r="AL140" s="815">
        <f t="shared" si="58"/>
        <v>0</v>
      </c>
      <c r="AM140" s="815">
        <f t="shared" si="58"/>
        <v>0</v>
      </c>
      <c r="AN140" s="815">
        <f t="shared" si="58"/>
        <v>0</v>
      </c>
      <c r="AO140" s="815">
        <f t="shared" si="58"/>
        <v>0</v>
      </c>
      <c r="AP140" s="815">
        <f t="shared" si="58"/>
        <v>0</v>
      </c>
      <c r="AQ140" s="815">
        <f t="shared" si="58"/>
        <v>0</v>
      </c>
      <c r="AR140" s="815">
        <f t="shared" si="58"/>
        <v>0</v>
      </c>
      <c r="AS140" s="815">
        <f t="shared" si="58"/>
        <v>0</v>
      </c>
      <c r="AT140" s="815">
        <f t="shared" si="58"/>
        <v>0</v>
      </c>
      <c r="AU140" s="815">
        <f t="shared" si="58"/>
        <v>0</v>
      </c>
      <c r="AV140" s="815">
        <f t="shared" si="58"/>
        <v>0</v>
      </c>
      <c r="AW140" s="815">
        <f t="shared" si="58"/>
        <v>0</v>
      </c>
      <c r="AX140" s="815">
        <f t="shared" si="58"/>
        <v>0</v>
      </c>
      <c r="AY140" s="815">
        <f t="shared" si="58"/>
        <v>0</v>
      </c>
      <c r="AZ140" s="817">
        <v>1</v>
      </c>
    </row>
    <row r="141" spans="31:52" x14ac:dyDescent="0.25">
      <c r="AE141" s="813" t="s">
        <v>1265</v>
      </c>
      <c r="AF141" s="810"/>
      <c r="AG141" s="810"/>
      <c r="AH141" s="810"/>
      <c r="AI141" s="810"/>
      <c r="AJ141" s="810"/>
      <c r="AK141" s="810"/>
      <c r="AL141" s="810"/>
      <c r="AM141" s="810"/>
      <c r="AN141" s="810"/>
      <c r="AO141" s="810"/>
      <c r="AP141" s="810"/>
      <c r="AQ141" s="810"/>
      <c r="AR141" s="810"/>
      <c r="AS141" s="810"/>
      <c r="AT141" s="810"/>
      <c r="AU141" s="810"/>
      <c r="AV141" s="810"/>
      <c r="AW141" s="810"/>
      <c r="AX141" s="810"/>
      <c r="AY141" s="810"/>
      <c r="AZ141" s="811"/>
    </row>
    <row r="142" spans="31:52" x14ac:dyDescent="0.25">
      <c r="AE142" s="813">
        <v>48</v>
      </c>
      <c r="AF142" s="812" t="str">
        <f>IF(AF93&gt;7,"ok","no")</f>
        <v>ok</v>
      </c>
      <c r="AG142" s="812" t="str">
        <f t="shared" ref="AG142:AY142" si="59">IF(AG93&gt;7,"ok","no")</f>
        <v>no</v>
      </c>
      <c r="AH142" s="812" t="str">
        <f t="shared" si="59"/>
        <v>no</v>
      </c>
      <c r="AI142" s="812" t="str">
        <f t="shared" si="59"/>
        <v>no</v>
      </c>
      <c r="AJ142" s="812" t="str">
        <f t="shared" si="59"/>
        <v>no</v>
      </c>
      <c r="AK142" s="812" t="str">
        <f t="shared" si="59"/>
        <v>no</v>
      </c>
      <c r="AL142" s="812" t="str">
        <f t="shared" si="59"/>
        <v>no</v>
      </c>
      <c r="AM142" s="812" t="str">
        <f t="shared" si="59"/>
        <v>no</v>
      </c>
      <c r="AN142" s="812" t="str">
        <f t="shared" si="59"/>
        <v>no</v>
      </c>
      <c r="AO142" s="812" t="str">
        <f t="shared" si="59"/>
        <v>no</v>
      </c>
      <c r="AP142" s="812" t="str">
        <f t="shared" si="59"/>
        <v>no</v>
      </c>
      <c r="AQ142" s="812" t="str">
        <f t="shared" si="59"/>
        <v>no</v>
      </c>
      <c r="AR142" s="812" t="str">
        <f t="shared" si="59"/>
        <v>no</v>
      </c>
      <c r="AS142" s="812" t="str">
        <f t="shared" si="59"/>
        <v>no</v>
      </c>
      <c r="AT142" s="812" t="str">
        <f t="shared" si="59"/>
        <v>no</v>
      </c>
      <c r="AU142" s="812" t="str">
        <f t="shared" si="59"/>
        <v>no</v>
      </c>
      <c r="AV142" s="812" t="str">
        <f t="shared" si="59"/>
        <v>no</v>
      </c>
      <c r="AW142" s="812" t="str">
        <f t="shared" si="59"/>
        <v>no</v>
      </c>
      <c r="AX142" s="812" t="str">
        <f t="shared" si="59"/>
        <v>no</v>
      </c>
      <c r="AY142" s="812" t="str">
        <f t="shared" si="59"/>
        <v>no</v>
      </c>
      <c r="AZ142" s="813">
        <v>48</v>
      </c>
    </row>
    <row r="143" spans="31:52" x14ac:dyDescent="0.25">
      <c r="AE143" s="813">
        <v>47</v>
      </c>
      <c r="AF143" s="812" t="str">
        <f>IF(AF142="ok","",IF(AF94&gt;7,"ok","no"))</f>
        <v/>
      </c>
      <c r="AG143" s="812" t="str">
        <f t="shared" ref="AG143:AY143" si="60">IF(AG142="ok","",IF(AG94&gt;7,"ok","no"))</f>
        <v>no</v>
      </c>
      <c r="AH143" s="812" t="str">
        <f t="shared" si="60"/>
        <v>no</v>
      </c>
      <c r="AI143" s="812" t="str">
        <f t="shared" si="60"/>
        <v>no</v>
      </c>
      <c r="AJ143" s="812" t="str">
        <f t="shared" si="60"/>
        <v>no</v>
      </c>
      <c r="AK143" s="812" t="str">
        <f t="shared" si="60"/>
        <v>no</v>
      </c>
      <c r="AL143" s="812" t="str">
        <f t="shared" si="60"/>
        <v>no</v>
      </c>
      <c r="AM143" s="812" t="str">
        <f t="shared" si="60"/>
        <v>no</v>
      </c>
      <c r="AN143" s="812" t="str">
        <f t="shared" si="60"/>
        <v>no</v>
      </c>
      <c r="AO143" s="812" t="str">
        <f t="shared" si="60"/>
        <v>no</v>
      </c>
      <c r="AP143" s="812" t="str">
        <f t="shared" si="60"/>
        <v>no</v>
      </c>
      <c r="AQ143" s="812" t="str">
        <f t="shared" si="60"/>
        <v>no</v>
      </c>
      <c r="AR143" s="812" t="str">
        <f t="shared" si="60"/>
        <v>no</v>
      </c>
      <c r="AS143" s="812" t="str">
        <f t="shared" si="60"/>
        <v>no</v>
      </c>
      <c r="AT143" s="812" t="str">
        <f t="shared" si="60"/>
        <v>no</v>
      </c>
      <c r="AU143" s="812" t="str">
        <f t="shared" si="60"/>
        <v>no</v>
      </c>
      <c r="AV143" s="812" t="str">
        <f t="shared" si="60"/>
        <v>no</v>
      </c>
      <c r="AW143" s="812" t="str">
        <f t="shared" si="60"/>
        <v>no</v>
      </c>
      <c r="AX143" s="812" t="str">
        <f t="shared" si="60"/>
        <v>no</v>
      </c>
      <c r="AY143" s="812" t="str">
        <f t="shared" si="60"/>
        <v>no</v>
      </c>
      <c r="AZ143" s="813">
        <v>47</v>
      </c>
    </row>
    <row r="144" spans="31:52" x14ac:dyDescent="0.25">
      <c r="AE144" s="813">
        <v>46</v>
      </c>
      <c r="AF144" s="812" t="str">
        <f>IF(AF143="ok","",IF(AF143="","",IF(AF95&gt;7,"ok","no")))</f>
        <v/>
      </c>
      <c r="AG144" s="812" t="str">
        <f t="shared" ref="AG144:AY157" si="61">IF(AG143="ok","",IF(AG143="","",IF(AG95&gt;7,"ok","no")))</f>
        <v>no</v>
      </c>
      <c r="AH144" s="812" t="str">
        <f t="shared" si="61"/>
        <v>no</v>
      </c>
      <c r="AI144" s="812" t="str">
        <f t="shared" si="61"/>
        <v>no</v>
      </c>
      <c r="AJ144" s="812" t="str">
        <f t="shared" si="61"/>
        <v>no</v>
      </c>
      <c r="AK144" s="812" t="str">
        <f t="shared" si="61"/>
        <v>no</v>
      </c>
      <c r="AL144" s="812" t="str">
        <f t="shared" si="61"/>
        <v>no</v>
      </c>
      <c r="AM144" s="812" t="str">
        <f t="shared" si="61"/>
        <v>no</v>
      </c>
      <c r="AN144" s="812" t="str">
        <f t="shared" si="61"/>
        <v>no</v>
      </c>
      <c r="AO144" s="812" t="str">
        <f t="shared" si="61"/>
        <v>no</v>
      </c>
      <c r="AP144" s="812" t="str">
        <f t="shared" si="61"/>
        <v>no</v>
      </c>
      <c r="AQ144" s="812" t="str">
        <f t="shared" si="61"/>
        <v>no</v>
      </c>
      <c r="AR144" s="812" t="str">
        <f t="shared" si="61"/>
        <v>no</v>
      </c>
      <c r="AS144" s="812" t="str">
        <f t="shared" si="61"/>
        <v>no</v>
      </c>
      <c r="AT144" s="812" t="str">
        <f t="shared" si="61"/>
        <v>no</v>
      </c>
      <c r="AU144" s="812" t="str">
        <f t="shared" si="61"/>
        <v>no</v>
      </c>
      <c r="AV144" s="812" t="str">
        <f t="shared" si="61"/>
        <v>no</v>
      </c>
      <c r="AW144" s="812" t="str">
        <f t="shared" si="61"/>
        <v>no</v>
      </c>
      <c r="AX144" s="812" t="str">
        <f t="shared" si="61"/>
        <v>no</v>
      </c>
      <c r="AY144" s="812" t="str">
        <f t="shared" si="61"/>
        <v>no</v>
      </c>
      <c r="AZ144" s="813">
        <v>46</v>
      </c>
    </row>
    <row r="145" spans="31:52" x14ac:dyDescent="0.25">
      <c r="AE145" s="813">
        <v>45</v>
      </c>
      <c r="AF145" s="812" t="str">
        <f t="shared" ref="AF145:AF189" si="62">IF(AF144="ok","",IF(AF144="","",IF(AF96&gt;7,"ok","no")))</f>
        <v/>
      </c>
      <c r="AG145" s="812" t="str">
        <f t="shared" si="61"/>
        <v>no</v>
      </c>
      <c r="AH145" s="812" t="str">
        <f t="shared" si="61"/>
        <v>no</v>
      </c>
      <c r="AI145" s="812" t="str">
        <f t="shared" si="61"/>
        <v>no</v>
      </c>
      <c r="AJ145" s="812" t="str">
        <f t="shared" si="61"/>
        <v>no</v>
      </c>
      <c r="AK145" s="812" t="str">
        <f t="shared" si="61"/>
        <v>no</v>
      </c>
      <c r="AL145" s="812" t="str">
        <f t="shared" si="61"/>
        <v>no</v>
      </c>
      <c r="AM145" s="812" t="str">
        <f t="shared" si="61"/>
        <v>no</v>
      </c>
      <c r="AN145" s="812" t="str">
        <f t="shared" si="61"/>
        <v>no</v>
      </c>
      <c r="AO145" s="812" t="str">
        <f t="shared" si="61"/>
        <v>no</v>
      </c>
      <c r="AP145" s="812" t="str">
        <f t="shared" si="61"/>
        <v>no</v>
      </c>
      <c r="AQ145" s="812" t="str">
        <f t="shared" si="61"/>
        <v>no</v>
      </c>
      <c r="AR145" s="812" t="str">
        <f t="shared" si="61"/>
        <v>no</v>
      </c>
      <c r="AS145" s="812" t="str">
        <f t="shared" si="61"/>
        <v>no</v>
      </c>
      <c r="AT145" s="812" t="str">
        <f t="shared" si="61"/>
        <v>no</v>
      </c>
      <c r="AU145" s="812" t="str">
        <f t="shared" si="61"/>
        <v>no</v>
      </c>
      <c r="AV145" s="812" t="str">
        <f t="shared" si="61"/>
        <v>no</v>
      </c>
      <c r="AW145" s="812" t="str">
        <f t="shared" si="61"/>
        <v>no</v>
      </c>
      <c r="AX145" s="812" t="str">
        <f t="shared" si="61"/>
        <v>no</v>
      </c>
      <c r="AY145" s="812" t="str">
        <f t="shared" si="61"/>
        <v>no</v>
      </c>
      <c r="AZ145" s="813">
        <v>45</v>
      </c>
    </row>
    <row r="146" spans="31:52" x14ac:dyDescent="0.25">
      <c r="AE146" s="813">
        <v>44</v>
      </c>
      <c r="AF146" s="812" t="str">
        <f t="shared" si="62"/>
        <v/>
      </c>
      <c r="AG146" s="812" t="str">
        <f t="shared" si="61"/>
        <v>no</v>
      </c>
      <c r="AH146" s="812" t="str">
        <f t="shared" si="61"/>
        <v>no</v>
      </c>
      <c r="AI146" s="812" t="str">
        <f t="shared" si="61"/>
        <v>no</v>
      </c>
      <c r="AJ146" s="812" t="str">
        <f t="shared" si="61"/>
        <v>no</v>
      </c>
      <c r="AK146" s="812" t="str">
        <f t="shared" si="61"/>
        <v>no</v>
      </c>
      <c r="AL146" s="812" t="str">
        <f t="shared" si="61"/>
        <v>no</v>
      </c>
      <c r="AM146" s="812" t="str">
        <f t="shared" si="61"/>
        <v>no</v>
      </c>
      <c r="AN146" s="812" t="str">
        <f t="shared" si="61"/>
        <v>no</v>
      </c>
      <c r="AO146" s="812" t="str">
        <f t="shared" si="61"/>
        <v>no</v>
      </c>
      <c r="AP146" s="812" t="str">
        <f t="shared" si="61"/>
        <v>no</v>
      </c>
      <c r="AQ146" s="812" t="str">
        <f t="shared" si="61"/>
        <v>no</v>
      </c>
      <c r="AR146" s="812" t="str">
        <f t="shared" si="61"/>
        <v>no</v>
      </c>
      <c r="AS146" s="812" t="str">
        <f t="shared" si="61"/>
        <v>no</v>
      </c>
      <c r="AT146" s="812" t="str">
        <f t="shared" si="61"/>
        <v>no</v>
      </c>
      <c r="AU146" s="812" t="str">
        <f t="shared" si="61"/>
        <v>no</v>
      </c>
      <c r="AV146" s="812" t="str">
        <f t="shared" si="61"/>
        <v>no</v>
      </c>
      <c r="AW146" s="812" t="str">
        <f t="shared" si="61"/>
        <v>no</v>
      </c>
      <c r="AX146" s="812" t="str">
        <f t="shared" si="61"/>
        <v>no</v>
      </c>
      <c r="AY146" s="812" t="str">
        <f t="shared" si="61"/>
        <v>no</v>
      </c>
      <c r="AZ146" s="813">
        <v>44</v>
      </c>
    </row>
    <row r="147" spans="31:52" x14ac:dyDescent="0.25">
      <c r="AE147" s="813">
        <v>43</v>
      </c>
      <c r="AF147" s="812" t="str">
        <f t="shared" si="62"/>
        <v/>
      </c>
      <c r="AG147" s="812" t="str">
        <f t="shared" si="61"/>
        <v>no</v>
      </c>
      <c r="AH147" s="812" t="str">
        <f t="shared" si="61"/>
        <v>no</v>
      </c>
      <c r="AI147" s="812" t="str">
        <f t="shared" si="61"/>
        <v>no</v>
      </c>
      <c r="AJ147" s="812" t="str">
        <f t="shared" si="61"/>
        <v>no</v>
      </c>
      <c r="AK147" s="812" t="str">
        <f t="shared" si="61"/>
        <v>no</v>
      </c>
      <c r="AL147" s="812" t="str">
        <f t="shared" si="61"/>
        <v>no</v>
      </c>
      <c r="AM147" s="812" t="str">
        <f t="shared" si="61"/>
        <v>no</v>
      </c>
      <c r="AN147" s="812" t="str">
        <f t="shared" si="61"/>
        <v>no</v>
      </c>
      <c r="AO147" s="812" t="str">
        <f t="shared" si="61"/>
        <v>no</v>
      </c>
      <c r="AP147" s="812" t="str">
        <f t="shared" si="61"/>
        <v>no</v>
      </c>
      <c r="AQ147" s="812" t="str">
        <f t="shared" si="61"/>
        <v>no</v>
      </c>
      <c r="AR147" s="812" t="str">
        <f t="shared" si="61"/>
        <v>no</v>
      </c>
      <c r="AS147" s="812" t="str">
        <f t="shared" si="61"/>
        <v>no</v>
      </c>
      <c r="AT147" s="812" t="str">
        <f t="shared" si="61"/>
        <v>no</v>
      </c>
      <c r="AU147" s="812" t="str">
        <f t="shared" si="61"/>
        <v>no</v>
      </c>
      <c r="AV147" s="812" t="str">
        <f t="shared" si="61"/>
        <v>no</v>
      </c>
      <c r="AW147" s="812" t="str">
        <f t="shared" si="61"/>
        <v>no</v>
      </c>
      <c r="AX147" s="812" t="str">
        <f t="shared" si="61"/>
        <v>no</v>
      </c>
      <c r="AY147" s="812" t="str">
        <f t="shared" si="61"/>
        <v>no</v>
      </c>
      <c r="AZ147" s="813">
        <v>43</v>
      </c>
    </row>
    <row r="148" spans="31:52" x14ac:dyDescent="0.25">
      <c r="AE148" s="813">
        <v>42</v>
      </c>
      <c r="AF148" s="812" t="str">
        <f t="shared" si="62"/>
        <v/>
      </c>
      <c r="AG148" s="812" t="str">
        <f t="shared" si="61"/>
        <v>no</v>
      </c>
      <c r="AH148" s="812" t="str">
        <f t="shared" si="61"/>
        <v>no</v>
      </c>
      <c r="AI148" s="812" t="str">
        <f t="shared" si="61"/>
        <v>no</v>
      </c>
      <c r="AJ148" s="812" t="str">
        <f t="shared" si="61"/>
        <v>no</v>
      </c>
      <c r="AK148" s="812" t="str">
        <f t="shared" si="61"/>
        <v>no</v>
      </c>
      <c r="AL148" s="812" t="str">
        <f t="shared" si="61"/>
        <v>no</v>
      </c>
      <c r="AM148" s="812" t="str">
        <f t="shared" si="61"/>
        <v>no</v>
      </c>
      <c r="AN148" s="812" t="str">
        <f t="shared" si="61"/>
        <v>no</v>
      </c>
      <c r="AO148" s="812" t="str">
        <f t="shared" si="61"/>
        <v>no</v>
      </c>
      <c r="AP148" s="812" t="str">
        <f t="shared" si="61"/>
        <v>no</v>
      </c>
      <c r="AQ148" s="812" t="str">
        <f t="shared" si="61"/>
        <v>no</v>
      </c>
      <c r="AR148" s="812" t="str">
        <f t="shared" si="61"/>
        <v>no</v>
      </c>
      <c r="AS148" s="812" t="str">
        <f t="shared" si="61"/>
        <v>no</v>
      </c>
      <c r="AT148" s="812" t="str">
        <f t="shared" si="61"/>
        <v>no</v>
      </c>
      <c r="AU148" s="812" t="str">
        <f t="shared" si="61"/>
        <v>no</v>
      </c>
      <c r="AV148" s="812" t="str">
        <f t="shared" si="61"/>
        <v>no</v>
      </c>
      <c r="AW148" s="812" t="str">
        <f t="shared" si="61"/>
        <v>no</v>
      </c>
      <c r="AX148" s="812" t="str">
        <f t="shared" si="61"/>
        <v>no</v>
      </c>
      <c r="AY148" s="812" t="str">
        <f t="shared" si="61"/>
        <v>no</v>
      </c>
      <c r="AZ148" s="813">
        <v>42</v>
      </c>
    </row>
    <row r="149" spans="31:52" x14ac:dyDescent="0.25">
      <c r="AE149" s="813">
        <v>41</v>
      </c>
      <c r="AF149" s="812" t="str">
        <f t="shared" si="62"/>
        <v/>
      </c>
      <c r="AG149" s="812" t="str">
        <f t="shared" si="61"/>
        <v>no</v>
      </c>
      <c r="AH149" s="812" t="str">
        <f t="shared" si="61"/>
        <v>no</v>
      </c>
      <c r="AI149" s="812" t="str">
        <f t="shared" si="61"/>
        <v>no</v>
      </c>
      <c r="AJ149" s="812" t="str">
        <f t="shared" si="61"/>
        <v>no</v>
      </c>
      <c r="AK149" s="812" t="str">
        <f t="shared" si="61"/>
        <v>no</v>
      </c>
      <c r="AL149" s="812" t="str">
        <f t="shared" si="61"/>
        <v>no</v>
      </c>
      <c r="AM149" s="812" t="str">
        <f t="shared" si="61"/>
        <v>no</v>
      </c>
      <c r="AN149" s="812" t="str">
        <f t="shared" si="61"/>
        <v>no</v>
      </c>
      <c r="AO149" s="812" t="str">
        <f t="shared" si="61"/>
        <v>no</v>
      </c>
      <c r="AP149" s="812" t="str">
        <f t="shared" si="61"/>
        <v>no</v>
      </c>
      <c r="AQ149" s="812" t="str">
        <f t="shared" si="61"/>
        <v>no</v>
      </c>
      <c r="AR149" s="812" t="str">
        <f t="shared" si="61"/>
        <v>no</v>
      </c>
      <c r="AS149" s="812" t="str">
        <f t="shared" si="61"/>
        <v>no</v>
      </c>
      <c r="AT149" s="812" t="str">
        <f t="shared" si="61"/>
        <v>no</v>
      </c>
      <c r="AU149" s="812" t="str">
        <f t="shared" si="61"/>
        <v>no</v>
      </c>
      <c r="AV149" s="812" t="str">
        <f t="shared" si="61"/>
        <v>no</v>
      </c>
      <c r="AW149" s="812" t="str">
        <f t="shared" si="61"/>
        <v>no</v>
      </c>
      <c r="AX149" s="812" t="str">
        <f t="shared" si="61"/>
        <v>no</v>
      </c>
      <c r="AY149" s="812" t="str">
        <f t="shared" si="61"/>
        <v>no</v>
      </c>
      <c r="AZ149" s="813">
        <v>41</v>
      </c>
    </row>
    <row r="150" spans="31:52" x14ac:dyDescent="0.25">
      <c r="AE150" s="813">
        <v>40</v>
      </c>
      <c r="AF150" s="812" t="str">
        <f t="shared" si="62"/>
        <v/>
      </c>
      <c r="AG150" s="812" t="str">
        <f t="shared" si="61"/>
        <v>no</v>
      </c>
      <c r="AH150" s="812" t="str">
        <f t="shared" si="61"/>
        <v>no</v>
      </c>
      <c r="AI150" s="812" t="str">
        <f t="shared" si="61"/>
        <v>no</v>
      </c>
      <c r="AJ150" s="812" t="str">
        <f t="shared" si="61"/>
        <v>no</v>
      </c>
      <c r="AK150" s="812" t="str">
        <f t="shared" si="61"/>
        <v>no</v>
      </c>
      <c r="AL150" s="812" t="str">
        <f t="shared" si="61"/>
        <v>no</v>
      </c>
      <c r="AM150" s="812" t="str">
        <f t="shared" si="61"/>
        <v>no</v>
      </c>
      <c r="AN150" s="812" t="str">
        <f t="shared" si="61"/>
        <v>no</v>
      </c>
      <c r="AO150" s="812" t="str">
        <f t="shared" si="61"/>
        <v>no</v>
      </c>
      <c r="AP150" s="812" t="str">
        <f t="shared" si="61"/>
        <v>no</v>
      </c>
      <c r="AQ150" s="812" t="str">
        <f t="shared" si="61"/>
        <v>no</v>
      </c>
      <c r="AR150" s="812" t="str">
        <f t="shared" si="61"/>
        <v>no</v>
      </c>
      <c r="AS150" s="812" t="str">
        <f t="shared" si="61"/>
        <v>no</v>
      </c>
      <c r="AT150" s="812" t="str">
        <f t="shared" si="61"/>
        <v>no</v>
      </c>
      <c r="AU150" s="812" t="str">
        <f t="shared" si="61"/>
        <v>no</v>
      </c>
      <c r="AV150" s="812" t="str">
        <f t="shared" si="61"/>
        <v>no</v>
      </c>
      <c r="AW150" s="812" t="str">
        <f t="shared" si="61"/>
        <v>no</v>
      </c>
      <c r="AX150" s="812" t="str">
        <f t="shared" si="61"/>
        <v>no</v>
      </c>
      <c r="AY150" s="812" t="str">
        <f t="shared" si="61"/>
        <v>no</v>
      </c>
      <c r="AZ150" s="813">
        <v>40</v>
      </c>
    </row>
    <row r="151" spans="31:52" x14ac:dyDescent="0.25">
      <c r="AE151" s="813">
        <v>39</v>
      </c>
      <c r="AF151" s="812" t="str">
        <f t="shared" si="62"/>
        <v/>
      </c>
      <c r="AG151" s="812" t="str">
        <f t="shared" si="61"/>
        <v>no</v>
      </c>
      <c r="AH151" s="812" t="str">
        <f t="shared" si="61"/>
        <v>no</v>
      </c>
      <c r="AI151" s="812" t="str">
        <f t="shared" si="61"/>
        <v>no</v>
      </c>
      <c r="AJ151" s="812" t="str">
        <f t="shared" si="61"/>
        <v>no</v>
      </c>
      <c r="AK151" s="812" t="str">
        <f t="shared" si="61"/>
        <v>no</v>
      </c>
      <c r="AL151" s="812" t="str">
        <f t="shared" si="61"/>
        <v>no</v>
      </c>
      <c r="AM151" s="812" t="str">
        <f t="shared" si="61"/>
        <v>no</v>
      </c>
      <c r="AN151" s="812" t="str">
        <f t="shared" si="61"/>
        <v>no</v>
      </c>
      <c r="AO151" s="812" t="str">
        <f t="shared" si="61"/>
        <v>no</v>
      </c>
      <c r="AP151" s="812" t="str">
        <f t="shared" si="61"/>
        <v>no</v>
      </c>
      <c r="AQ151" s="812" t="str">
        <f t="shared" si="61"/>
        <v>no</v>
      </c>
      <c r="AR151" s="812" t="str">
        <f t="shared" si="61"/>
        <v>no</v>
      </c>
      <c r="AS151" s="812" t="str">
        <f t="shared" si="61"/>
        <v>no</v>
      </c>
      <c r="AT151" s="812" t="str">
        <f t="shared" si="61"/>
        <v>no</v>
      </c>
      <c r="AU151" s="812" t="str">
        <f t="shared" si="61"/>
        <v>no</v>
      </c>
      <c r="AV151" s="812" t="str">
        <f t="shared" si="61"/>
        <v>no</v>
      </c>
      <c r="AW151" s="812" t="str">
        <f t="shared" si="61"/>
        <v>no</v>
      </c>
      <c r="AX151" s="812" t="str">
        <f t="shared" si="61"/>
        <v>no</v>
      </c>
      <c r="AY151" s="812" t="str">
        <f t="shared" si="61"/>
        <v>no</v>
      </c>
      <c r="AZ151" s="813">
        <v>39</v>
      </c>
    </row>
    <row r="152" spans="31:52" x14ac:dyDescent="0.25">
      <c r="AE152" s="813">
        <v>38</v>
      </c>
      <c r="AF152" s="812" t="str">
        <f t="shared" si="62"/>
        <v/>
      </c>
      <c r="AG152" s="812" t="str">
        <f t="shared" si="61"/>
        <v>no</v>
      </c>
      <c r="AH152" s="812" t="str">
        <f t="shared" si="61"/>
        <v>no</v>
      </c>
      <c r="AI152" s="812" t="str">
        <f t="shared" si="61"/>
        <v>no</v>
      </c>
      <c r="AJ152" s="812" t="str">
        <f t="shared" si="61"/>
        <v>no</v>
      </c>
      <c r="AK152" s="812" t="str">
        <f t="shared" si="61"/>
        <v>no</v>
      </c>
      <c r="AL152" s="812" t="str">
        <f t="shared" si="61"/>
        <v>no</v>
      </c>
      <c r="AM152" s="812" t="str">
        <f t="shared" si="61"/>
        <v>no</v>
      </c>
      <c r="AN152" s="812" t="str">
        <f t="shared" si="61"/>
        <v>no</v>
      </c>
      <c r="AO152" s="812" t="str">
        <f t="shared" si="61"/>
        <v>no</v>
      </c>
      <c r="AP152" s="812" t="str">
        <f t="shared" si="61"/>
        <v>no</v>
      </c>
      <c r="AQ152" s="812" t="str">
        <f t="shared" si="61"/>
        <v>no</v>
      </c>
      <c r="AR152" s="812" t="str">
        <f t="shared" si="61"/>
        <v>no</v>
      </c>
      <c r="AS152" s="812" t="str">
        <f t="shared" si="61"/>
        <v>no</v>
      </c>
      <c r="AT152" s="812" t="str">
        <f t="shared" si="61"/>
        <v>no</v>
      </c>
      <c r="AU152" s="812" t="str">
        <f t="shared" si="61"/>
        <v>no</v>
      </c>
      <c r="AV152" s="812" t="str">
        <f t="shared" si="61"/>
        <v>no</v>
      </c>
      <c r="AW152" s="812" t="str">
        <f t="shared" si="61"/>
        <v>no</v>
      </c>
      <c r="AX152" s="812" t="str">
        <f t="shared" si="61"/>
        <v>no</v>
      </c>
      <c r="AY152" s="812" t="str">
        <f t="shared" si="61"/>
        <v>no</v>
      </c>
      <c r="AZ152" s="813">
        <v>38</v>
      </c>
    </row>
    <row r="153" spans="31:52" x14ac:dyDescent="0.25">
      <c r="AE153" s="813">
        <v>37</v>
      </c>
      <c r="AF153" s="812" t="str">
        <f t="shared" si="62"/>
        <v/>
      </c>
      <c r="AG153" s="812" t="str">
        <f t="shared" si="61"/>
        <v>no</v>
      </c>
      <c r="AH153" s="812" t="str">
        <f t="shared" si="61"/>
        <v>no</v>
      </c>
      <c r="AI153" s="812" t="str">
        <f t="shared" si="61"/>
        <v>no</v>
      </c>
      <c r="AJ153" s="812" t="str">
        <f t="shared" si="61"/>
        <v>no</v>
      </c>
      <c r="AK153" s="812" t="str">
        <f t="shared" si="61"/>
        <v>no</v>
      </c>
      <c r="AL153" s="812" t="str">
        <f t="shared" si="61"/>
        <v>no</v>
      </c>
      <c r="AM153" s="812" t="str">
        <f t="shared" si="61"/>
        <v>no</v>
      </c>
      <c r="AN153" s="812" t="str">
        <f t="shared" si="61"/>
        <v>no</v>
      </c>
      <c r="AO153" s="812" t="str">
        <f t="shared" si="61"/>
        <v>no</v>
      </c>
      <c r="AP153" s="812" t="str">
        <f t="shared" si="61"/>
        <v>no</v>
      </c>
      <c r="AQ153" s="812" t="str">
        <f t="shared" si="61"/>
        <v>no</v>
      </c>
      <c r="AR153" s="812" t="str">
        <f t="shared" si="61"/>
        <v>no</v>
      </c>
      <c r="AS153" s="812" t="str">
        <f t="shared" si="61"/>
        <v>no</v>
      </c>
      <c r="AT153" s="812" t="str">
        <f t="shared" si="61"/>
        <v>no</v>
      </c>
      <c r="AU153" s="812" t="str">
        <f t="shared" si="61"/>
        <v>no</v>
      </c>
      <c r="AV153" s="812" t="str">
        <f t="shared" si="61"/>
        <v>no</v>
      </c>
      <c r="AW153" s="812" t="str">
        <f t="shared" si="61"/>
        <v>no</v>
      </c>
      <c r="AX153" s="812" t="str">
        <f t="shared" si="61"/>
        <v>no</v>
      </c>
      <c r="AY153" s="812" t="str">
        <f t="shared" si="61"/>
        <v>no</v>
      </c>
      <c r="AZ153" s="813">
        <v>37</v>
      </c>
    </row>
    <row r="154" spans="31:52" x14ac:dyDescent="0.25">
      <c r="AE154" s="813">
        <v>36</v>
      </c>
      <c r="AF154" s="812" t="str">
        <f t="shared" si="62"/>
        <v/>
      </c>
      <c r="AG154" s="812" t="str">
        <f t="shared" si="61"/>
        <v>no</v>
      </c>
      <c r="AH154" s="812" t="str">
        <f t="shared" si="61"/>
        <v>no</v>
      </c>
      <c r="AI154" s="812" t="str">
        <f t="shared" si="61"/>
        <v>no</v>
      </c>
      <c r="AJ154" s="812" t="str">
        <f t="shared" si="61"/>
        <v>no</v>
      </c>
      <c r="AK154" s="812" t="str">
        <f t="shared" si="61"/>
        <v>no</v>
      </c>
      <c r="AL154" s="812" t="str">
        <f t="shared" si="61"/>
        <v>no</v>
      </c>
      <c r="AM154" s="812" t="str">
        <f t="shared" si="61"/>
        <v>no</v>
      </c>
      <c r="AN154" s="812" t="str">
        <f t="shared" si="61"/>
        <v>no</v>
      </c>
      <c r="AO154" s="812" t="str">
        <f t="shared" si="61"/>
        <v>no</v>
      </c>
      <c r="AP154" s="812" t="str">
        <f t="shared" si="61"/>
        <v>no</v>
      </c>
      <c r="AQ154" s="812" t="str">
        <f t="shared" si="61"/>
        <v>no</v>
      </c>
      <c r="AR154" s="812" t="str">
        <f t="shared" si="61"/>
        <v>no</v>
      </c>
      <c r="AS154" s="812" t="str">
        <f t="shared" si="61"/>
        <v>no</v>
      </c>
      <c r="AT154" s="812" t="str">
        <f t="shared" si="61"/>
        <v>no</v>
      </c>
      <c r="AU154" s="812" t="str">
        <f t="shared" si="61"/>
        <v>no</v>
      </c>
      <c r="AV154" s="812" t="str">
        <f t="shared" si="61"/>
        <v>no</v>
      </c>
      <c r="AW154" s="812" t="str">
        <f t="shared" si="61"/>
        <v>no</v>
      </c>
      <c r="AX154" s="812" t="str">
        <f t="shared" si="61"/>
        <v>no</v>
      </c>
      <c r="AY154" s="812" t="str">
        <f t="shared" si="61"/>
        <v>no</v>
      </c>
      <c r="AZ154" s="813">
        <v>36</v>
      </c>
    </row>
    <row r="155" spans="31:52" x14ac:dyDescent="0.25">
      <c r="AE155" s="813">
        <v>35</v>
      </c>
      <c r="AF155" s="812" t="str">
        <f t="shared" si="62"/>
        <v/>
      </c>
      <c r="AG155" s="812" t="str">
        <f t="shared" si="61"/>
        <v>no</v>
      </c>
      <c r="AH155" s="812" t="str">
        <f t="shared" si="61"/>
        <v>no</v>
      </c>
      <c r="AI155" s="812" t="str">
        <f t="shared" si="61"/>
        <v>no</v>
      </c>
      <c r="AJ155" s="812" t="str">
        <f t="shared" si="61"/>
        <v>no</v>
      </c>
      <c r="AK155" s="812" t="str">
        <f t="shared" si="61"/>
        <v>no</v>
      </c>
      <c r="AL155" s="812" t="str">
        <f t="shared" si="61"/>
        <v>no</v>
      </c>
      <c r="AM155" s="812" t="str">
        <f t="shared" si="61"/>
        <v>no</v>
      </c>
      <c r="AN155" s="812" t="str">
        <f t="shared" si="61"/>
        <v>no</v>
      </c>
      <c r="AO155" s="812" t="str">
        <f t="shared" si="61"/>
        <v>no</v>
      </c>
      <c r="AP155" s="812" t="str">
        <f t="shared" si="61"/>
        <v>no</v>
      </c>
      <c r="AQ155" s="812" t="str">
        <f t="shared" si="61"/>
        <v>no</v>
      </c>
      <c r="AR155" s="812" t="str">
        <f t="shared" si="61"/>
        <v>no</v>
      </c>
      <c r="AS155" s="812" t="str">
        <f t="shared" si="61"/>
        <v>no</v>
      </c>
      <c r="AT155" s="812" t="str">
        <f t="shared" si="61"/>
        <v>no</v>
      </c>
      <c r="AU155" s="812" t="str">
        <f t="shared" si="61"/>
        <v>no</v>
      </c>
      <c r="AV155" s="812" t="str">
        <f t="shared" si="61"/>
        <v>no</v>
      </c>
      <c r="AW155" s="812" t="str">
        <f t="shared" si="61"/>
        <v>no</v>
      </c>
      <c r="AX155" s="812" t="str">
        <f t="shared" si="61"/>
        <v>no</v>
      </c>
      <c r="AY155" s="812" t="str">
        <f t="shared" si="61"/>
        <v>no</v>
      </c>
      <c r="AZ155" s="813">
        <v>35</v>
      </c>
    </row>
    <row r="156" spans="31:52" x14ac:dyDescent="0.25">
      <c r="AE156" s="813">
        <v>34</v>
      </c>
      <c r="AF156" s="812" t="str">
        <f t="shared" si="62"/>
        <v/>
      </c>
      <c r="AG156" s="812" t="str">
        <f t="shared" si="61"/>
        <v>no</v>
      </c>
      <c r="AH156" s="812" t="str">
        <f t="shared" si="61"/>
        <v>no</v>
      </c>
      <c r="AI156" s="812" t="str">
        <f t="shared" si="61"/>
        <v>no</v>
      </c>
      <c r="AJ156" s="812" t="str">
        <f t="shared" si="61"/>
        <v>no</v>
      </c>
      <c r="AK156" s="812" t="str">
        <f t="shared" si="61"/>
        <v>no</v>
      </c>
      <c r="AL156" s="812" t="str">
        <f t="shared" si="61"/>
        <v>no</v>
      </c>
      <c r="AM156" s="812" t="str">
        <f t="shared" si="61"/>
        <v>no</v>
      </c>
      <c r="AN156" s="812" t="str">
        <f t="shared" si="61"/>
        <v>no</v>
      </c>
      <c r="AO156" s="812" t="str">
        <f t="shared" si="61"/>
        <v>no</v>
      </c>
      <c r="AP156" s="812" t="str">
        <f t="shared" si="61"/>
        <v>no</v>
      </c>
      <c r="AQ156" s="812" t="str">
        <f t="shared" si="61"/>
        <v>no</v>
      </c>
      <c r="AR156" s="812" t="str">
        <f t="shared" si="61"/>
        <v>no</v>
      </c>
      <c r="AS156" s="812" t="str">
        <f t="shared" si="61"/>
        <v>no</v>
      </c>
      <c r="AT156" s="812" t="str">
        <f t="shared" si="61"/>
        <v>no</v>
      </c>
      <c r="AU156" s="812" t="str">
        <f t="shared" si="61"/>
        <v>no</v>
      </c>
      <c r="AV156" s="812" t="str">
        <f t="shared" si="61"/>
        <v>no</v>
      </c>
      <c r="AW156" s="812" t="str">
        <f t="shared" si="61"/>
        <v>no</v>
      </c>
      <c r="AX156" s="812" t="str">
        <f t="shared" si="61"/>
        <v>no</v>
      </c>
      <c r="AY156" s="812" t="str">
        <f t="shared" si="61"/>
        <v>no</v>
      </c>
      <c r="AZ156" s="813">
        <v>34</v>
      </c>
    </row>
    <row r="157" spans="31:52" x14ac:dyDescent="0.25">
      <c r="AE157" s="813">
        <v>33</v>
      </c>
      <c r="AF157" s="812" t="str">
        <f t="shared" si="62"/>
        <v/>
      </c>
      <c r="AG157" s="812" t="str">
        <f t="shared" si="61"/>
        <v>no</v>
      </c>
      <c r="AH157" s="812" t="str">
        <f t="shared" si="61"/>
        <v>no</v>
      </c>
      <c r="AI157" s="812" t="str">
        <f t="shared" si="61"/>
        <v>no</v>
      </c>
      <c r="AJ157" s="812" t="str">
        <f t="shared" si="61"/>
        <v>no</v>
      </c>
      <c r="AK157" s="812" t="str">
        <f t="shared" si="61"/>
        <v>no</v>
      </c>
      <c r="AL157" s="812" t="str">
        <f t="shared" si="61"/>
        <v>no</v>
      </c>
      <c r="AM157" s="812" t="str">
        <f t="shared" si="61"/>
        <v>no</v>
      </c>
      <c r="AN157" s="812" t="str">
        <f t="shared" si="61"/>
        <v>no</v>
      </c>
      <c r="AO157" s="812" t="str">
        <f t="shared" ref="AO157:AO189" si="63">IF(AO156="ok","",IF(AO156="","",IF(AO108&gt;7,"ok","no")))</f>
        <v>no</v>
      </c>
      <c r="AP157" s="812" t="str">
        <f t="shared" ref="AP157:AP189" si="64">IF(AP156="ok","",IF(AP156="","",IF(AP108&gt;7,"ok","no")))</f>
        <v>no</v>
      </c>
      <c r="AQ157" s="812" t="str">
        <f t="shared" ref="AQ157:AQ189" si="65">IF(AQ156="ok","",IF(AQ156="","",IF(AQ108&gt;7,"ok","no")))</f>
        <v>no</v>
      </c>
      <c r="AR157" s="812" t="str">
        <f t="shared" ref="AR157:AR189" si="66">IF(AR156="ok","",IF(AR156="","",IF(AR108&gt;7,"ok","no")))</f>
        <v>no</v>
      </c>
      <c r="AS157" s="812" t="str">
        <f t="shared" ref="AS157:AS189" si="67">IF(AS156="ok","",IF(AS156="","",IF(AS108&gt;7,"ok","no")))</f>
        <v>no</v>
      </c>
      <c r="AT157" s="812" t="str">
        <f t="shared" ref="AT157:AT189" si="68">IF(AT156="ok","",IF(AT156="","",IF(AT108&gt;7,"ok","no")))</f>
        <v>no</v>
      </c>
      <c r="AU157" s="812" t="str">
        <f t="shared" ref="AU157:AU189" si="69">IF(AU156="ok","",IF(AU156="","",IF(AU108&gt;7,"ok","no")))</f>
        <v>no</v>
      </c>
      <c r="AV157" s="812" t="str">
        <f t="shared" ref="AV157:AV189" si="70">IF(AV156="ok","",IF(AV156="","",IF(AV108&gt;7,"ok","no")))</f>
        <v>no</v>
      </c>
      <c r="AW157" s="812" t="str">
        <f t="shared" ref="AW157:AW189" si="71">IF(AW156="ok","",IF(AW156="","",IF(AW108&gt;7,"ok","no")))</f>
        <v>no</v>
      </c>
      <c r="AX157" s="812" t="str">
        <f t="shared" ref="AX157:AX189" si="72">IF(AX156="ok","",IF(AX156="","",IF(AX108&gt;7,"ok","no")))</f>
        <v>no</v>
      </c>
      <c r="AY157" s="812" t="str">
        <f t="shared" ref="AY157:AY189" si="73">IF(AY156="ok","",IF(AY156="","",IF(AY108&gt;7,"ok","no")))</f>
        <v>no</v>
      </c>
      <c r="AZ157" s="813">
        <v>33</v>
      </c>
    </row>
    <row r="158" spans="31:52" x14ac:dyDescent="0.25">
      <c r="AE158" s="813">
        <v>32</v>
      </c>
      <c r="AF158" s="812" t="str">
        <f t="shared" si="62"/>
        <v/>
      </c>
      <c r="AG158" s="812" t="str">
        <f t="shared" ref="AG158:AG189" si="74">IF(AG157="ok","",IF(AG157="","",IF(AG109&gt;7,"ok","no")))</f>
        <v>no</v>
      </c>
      <c r="AH158" s="812" t="str">
        <f t="shared" ref="AH158:AH189" si="75">IF(AH157="ok","",IF(AH157="","",IF(AH109&gt;7,"ok","no")))</f>
        <v>no</v>
      </c>
      <c r="AI158" s="812" t="str">
        <f t="shared" ref="AI158:AI189" si="76">IF(AI157="ok","",IF(AI157="","",IF(AI109&gt;7,"ok","no")))</f>
        <v>no</v>
      </c>
      <c r="AJ158" s="812" t="str">
        <f t="shared" ref="AJ158:AJ189" si="77">IF(AJ157="ok","",IF(AJ157="","",IF(AJ109&gt;7,"ok","no")))</f>
        <v>no</v>
      </c>
      <c r="AK158" s="812" t="str">
        <f t="shared" ref="AK158:AK189" si="78">IF(AK157="ok","",IF(AK157="","",IF(AK109&gt;7,"ok","no")))</f>
        <v>no</v>
      </c>
      <c r="AL158" s="812" t="str">
        <f t="shared" ref="AL158:AL189" si="79">IF(AL157="ok","",IF(AL157="","",IF(AL109&gt;7,"ok","no")))</f>
        <v>no</v>
      </c>
      <c r="AM158" s="812" t="str">
        <f t="shared" ref="AM158:AM189" si="80">IF(AM157="ok","",IF(AM157="","",IF(AM109&gt;7,"ok","no")))</f>
        <v>no</v>
      </c>
      <c r="AN158" s="812" t="str">
        <f t="shared" ref="AN158:AN189" si="81">IF(AN157="ok","",IF(AN157="","",IF(AN109&gt;7,"ok","no")))</f>
        <v>no</v>
      </c>
      <c r="AO158" s="812" t="str">
        <f t="shared" si="63"/>
        <v>no</v>
      </c>
      <c r="AP158" s="812" t="str">
        <f t="shared" si="64"/>
        <v>no</v>
      </c>
      <c r="AQ158" s="812" t="str">
        <f t="shared" si="65"/>
        <v>no</v>
      </c>
      <c r="AR158" s="812" t="str">
        <f t="shared" si="66"/>
        <v>no</v>
      </c>
      <c r="AS158" s="812" t="str">
        <f t="shared" si="67"/>
        <v>no</v>
      </c>
      <c r="AT158" s="812" t="str">
        <f t="shared" si="68"/>
        <v>no</v>
      </c>
      <c r="AU158" s="812" t="str">
        <f t="shared" si="69"/>
        <v>no</v>
      </c>
      <c r="AV158" s="812" t="str">
        <f t="shared" si="70"/>
        <v>no</v>
      </c>
      <c r="AW158" s="812" t="str">
        <f t="shared" si="71"/>
        <v>no</v>
      </c>
      <c r="AX158" s="812" t="str">
        <f t="shared" si="72"/>
        <v>no</v>
      </c>
      <c r="AY158" s="812" t="str">
        <f t="shared" si="73"/>
        <v>no</v>
      </c>
      <c r="AZ158" s="813">
        <v>32</v>
      </c>
    </row>
    <row r="159" spans="31:52" x14ac:dyDescent="0.25">
      <c r="AE159" s="813">
        <v>31</v>
      </c>
      <c r="AF159" s="812" t="str">
        <f t="shared" si="62"/>
        <v/>
      </c>
      <c r="AG159" s="812" t="str">
        <f t="shared" si="74"/>
        <v>no</v>
      </c>
      <c r="AH159" s="812" t="str">
        <f t="shared" si="75"/>
        <v>no</v>
      </c>
      <c r="AI159" s="812" t="str">
        <f t="shared" si="76"/>
        <v>no</v>
      </c>
      <c r="AJ159" s="812" t="str">
        <f t="shared" si="77"/>
        <v>no</v>
      </c>
      <c r="AK159" s="812" t="str">
        <f t="shared" si="78"/>
        <v>no</v>
      </c>
      <c r="AL159" s="812" t="str">
        <f t="shared" si="79"/>
        <v>no</v>
      </c>
      <c r="AM159" s="812" t="str">
        <f t="shared" si="80"/>
        <v>no</v>
      </c>
      <c r="AN159" s="812" t="str">
        <f t="shared" si="81"/>
        <v>no</v>
      </c>
      <c r="AO159" s="812" t="str">
        <f t="shared" si="63"/>
        <v>no</v>
      </c>
      <c r="AP159" s="812" t="str">
        <f t="shared" si="64"/>
        <v>no</v>
      </c>
      <c r="AQ159" s="812" t="str">
        <f t="shared" si="65"/>
        <v>no</v>
      </c>
      <c r="AR159" s="812" t="str">
        <f t="shared" si="66"/>
        <v>no</v>
      </c>
      <c r="AS159" s="812" t="str">
        <f t="shared" si="67"/>
        <v>no</v>
      </c>
      <c r="AT159" s="812" t="str">
        <f t="shared" si="68"/>
        <v>no</v>
      </c>
      <c r="AU159" s="812" t="str">
        <f t="shared" si="69"/>
        <v>no</v>
      </c>
      <c r="AV159" s="812" t="str">
        <f t="shared" si="70"/>
        <v>no</v>
      </c>
      <c r="AW159" s="812" t="str">
        <f t="shared" si="71"/>
        <v>no</v>
      </c>
      <c r="AX159" s="812" t="str">
        <f t="shared" si="72"/>
        <v>no</v>
      </c>
      <c r="AY159" s="812" t="str">
        <f t="shared" si="73"/>
        <v>no</v>
      </c>
      <c r="AZ159" s="813">
        <v>31</v>
      </c>
    </row>
    <row r="160" spans="31:52" x14ac:dyDescent="0.25">
      <c r="AE160" s="813">
        <v>30</v>
      </c>
      <c r="AF160" s="812" t="str">
        <f t="shared" si="62"/>
        <v/>
      </c>
      <c r="AG160" s="812" t="str">
        <f t="shared" si="74"/>
        <v>no</v>
      </c>
      <c r="AH160" s="812" t="str">
        <f t="shared" si="75"/>
        <v>no</v>
      </c>
      <c r="AI160" s="812" t="str">
        <f t="shared" si="76"/>
        <v>no</v>
      </c>
      <c r="AJ160" s="812" t="str">
        <f t="shared" si="77"/>
        <v>no</v>
      </c>
      <c r="AK160" s="812" t="str">
        <f t="shared" si="78"/>
        <v>no</v>
      </c>
      <c r="AL160" s="812" t="str">
        <f t="shared" si="79"/>
        <v>no</v>
      </c>
      <c r="AM160" s="812" t="str">
        <f t="shared" si="80"/>
        <v>no</v>
      </c>
      <c r="AN160" s="812" t="str">
        <f t="shared" si="81"/>
        <v>no</v>
      </c>
      <c r="AO160" s="812" t="str">
        <f t="shared" si="63"/>
        <v>no</v>
      </c>
      <c r="AP160" s="812" t="str">
        <f t="shared" si="64"/>
        <v>no</v>
      </c>
      <c r="AQ160" s="812" t="str">
        <f t="shared" si="65"/>
        <v>no</v>
      </c>
      <c r="AR160" s="812" t="str">
        <f t="shared" si="66"/>
        <v>no</v>
      </c>
      <c r="AS160" s="812" t="str">
        <f t="shared" si="67"/>
        <v>no</v>
      </c>
      <c r="AT160" s="812" t="str">
        <f t="shared" si="68"/>
        <v>no</v>
      </c>
      <c r="AU160" s="812" t="str">
        <f t="shared" si="69"/>
        <v>no</v>
      </c>
      <c r="AV160" s="812" t="str">
        <f t="shared" si="70"/>
        <v>no</v>
      </c>
      <c r="AW160" s="812" t="str">
        <f t="shared" si="71"/>
        <v>no</v>
      </c>
      <c r="AX160" s="812" t="str">
        <f t="shared" si="72"/>
        <v>no</v>
      </c>
      <c r="AY160" s="812" t="str">
        <f t="shared" si="73"/>
        <v>no</v>
      </c>
      <c r="AZ160" s="813">
        <v>30</v>
      </c>
    </row>
    <row r="161" spans="31:52" x14ac:dyDescent="0.25">
      <c r="AE161" s="813">
        <v>29</v>
      </c>
      <c r="AF161" s="812" t="str">
        <f t="shared" si="62"/>
        <v/>
      </c>
      <c r="AG161" s="812" t="str">
        <f t="shared" si="74"/>
        <v>no</v>
      </c>
      <c r="AH161" s="812" t="str">
        <f t="shared" si="75"/>
        <v>no</v>
      </c>
      <c r="AI161" s="812" t="str">
        <f t="shared" si="76"/>
        <v>no</v>
      </c>
      <c r="AJ161" s="812" t="str">
        <f t="shared" si="77"/>
        <v>no</v>
      </c>
      <c r="AK161" s="812" t="str">
        <f t="shared" si="78"/>
        <v>no</v>
      </c>
      <c r="AL161" s="812" t="str">
        <f t="shared" si="79"/>
        <v>no</v>
      </c>
      <c r="AM161" s="812" t="str">
        <f t="shared" si="80"/>
        <v>no</v>
      </c>
      <c r="AN161" s="812" t="str">
        <f t="shared" si="81"/>
        <v>no</v>
      </c>
      <c r="AO161" s="812" t="str">
        <f t="shared" si="63"/>
        <v>no</v>
      </c>
      <c r="AP161" s="812" t="str">
        <f t="shared" si="64"/>
        <v>no</v>
      </c>
      <c r="AQ161" s="812" t="str">
        <f t="shared" si="65"/>
        <v>no</v>
      </c>
      <c r="AR161" s="812" t="str">
        <f t="shared" si="66"/>
        <v>no</v>
      </c>
      <c r="AS161" s="812" t="str">
        <f t="shared" si="67"/>
        <v>no</v>
      </c>
      <c r="AT161" s="812" t="str">
        <f t="shared" si="68"/>
        <v>no</v>
      </c>
      <c r="AU161" s="812" t="str">
        <f t="shared" si="69"/>
        <v>no</v>
      </c>
      <c r="AV161" s="812" t="str">
        <f t="shared" si="70"/>
        <v>no</v>
      </c>
      <c r="AW161" s="812" t="str">
        <f t="shared" si="71"/>
        <v>no</v>
      </c>
      <c r="AX161" s="812" t="str">
        <f t="shared" si="72"/>
        <v>no</v>
      </c>
      <c r="AY161" s="812" t="str">
        <f t="shared" si="73"/>
        <v>no</v>
      </c>
      <c r="AZ161" s="813">
        <v>29</v>
      </c>
    </row>
    <row r="162" spans="31:52" x14ac:dyDescent="0.25">
      <c r="AE162" s="813">
        <v>28</v>
      </c>
      <c r="AF162" s="812" t="str">
        <f t="shared" si="62"/>
        <v/>
      </c>
      <c r="AG162" s="812" t="str">
        <f t="shared" si="74"/>
        <v>no</v>
      </c>
      <c r="AH162" s="812" t="str">
        <f t="shared" si="75"/>
        <v>no</v>
      </c>
      <c r="AI162" s="812" t="str">
        <f t="shared" si="76"/>
        <v>no</v>
      </c>
      <c r="AJ162" s="812" t="str">
        <f t="shared" si="77"/>
        <v>no</v>
      </c>
      <c r="AK162" s="812" t="str">
        <f t="shared" si="78"/>
        <v>no</v>
      </c>
      <c r="AL162" s="812" t="str">
        <f t="shared" si="79"/>
        <v>no</v>
      </c>
      <c r="AM162" s="812" t="str">
        <f t="shared" si="80"/>
        <v>no</v>
      </c>
      <c r="AN162" s="812" t="str">
        <f t="shared" si="81"/>
        <v>no</v>
      </c>
      <c r="AO162" s="812" t="str">
        <f t="shared" si="63"/>
        <v>no</v>
      </c>
      <c r="AP162" s="812" t="str">
        <f t="shared" si="64"/>
        <v>no</v>
      </c>
      <c r="AQ162" s="812" t="str">
        <f t="shared" si="65"/>
        <v>no</v>
      </c>
      <c r="AR162" s="812" t="str">
        <f t="shared" si="66"/>
        <v>no</v>
      </c>
      <c r="AS162" s="812" t="str">
        <f t="shared" si="67"/>
        <v>no</v>
      </c>
      <c r="AT162" s="812" t="str">
        <f t="shared" si="68"/>
        <v>no</v>
      </c>
      <c r="AU162" s="812" t="str">
        <f t="shared" si="69"/>
        <v>no</v>
      </c>
      <c r="AV162" s="812" t="str">
        <f t="shared" si="70"/>
        <v>no</v>
      </c>
      <c r="AW162" s="812" t="str">
        <f t="shared" si="71"/>
        <v>no</v>
      </c>
      <c r="AX162" s="812" t="str">
        <f t="shared" si="72"/>
        <v>no</v>
      </c>
      <c r="AY162" s="812" t="str">
        <f t="shared" si="73"/>
        <v>no</v>
      </c>
      <c r="AZ162" s="813">
        <v>28</v>
      </c>
    </row>
    <row r="163" spans="31:52" x14ac:dyDescent="0.25">
      <c r="AE163" s="813">
        <v>27</v>
      </c>
      <c r="AF163" s="812" t="str">
        <f t="shared" si="62"/>
        <v/>
      </c>
      <c r="AG163" s="812" t="str">
        <f t="shared" si="74"/>
        <v>no</v>
      </c>
      <c r="AH163" s="812" t="str">
        <f t="shared" si="75"/>
        <v>no</v>
      </c>
      <c r="AI163" s="812" t="str">
        <f t="shared" si="76"/>
        <v>no</v>
      </c>
      <c r="AJ163" s="812" t="str">
        <f t="shared" si="77"/>
        <v>no</v>
      </c>
      <c r="AK163" s="812" t="str">
        <f t="shared" si="78"/>
        <v>no</v>
      </c>
      <c r="AL163" s="812" t="str">
        <f t="shared" si="79"/>
        <v>no</v>
      </c>
      <c r="AM163" s="812" t="str">
        <f t="shared" si="80"/>
        <v>no</v>
      </c>
      <c r="AN163" s="812" t="str">
        <f t="shared" si="81"/>
        <v>no</v>
      </c>
      <c r="AO163" s="812" t="str">
        <f t="shared" si="63"/>
        <v>no</v>
      </c>
      <c r="AP163" s="812" t="str">
        <f t="shared" si="64"/>
        <v>no</v>
      </c>
      <c r="AQ163" s="812" t="str">
        <f t="shared" si="65"/>
        <v>no</v>
      </c>
      <c r="AR163" s="812" t="str">
        <f t="shared" si="66"/>
        <v>no</v>
      </c>
      <c r="AS163" s="812" t="str">
        <f t="shared" si="67"/>
        <v>no</v>
      </c>
      <c r="AT163" s="812" t="str">
        <f t="shared" si="68"/>
        <v>no</v>
      </c>
      <c r="AU163" s="812" t="str">
        <f t="shared" si="69"/>
        <v>no</v>
      </c>
      <c r="AV163" s="812" t="str">
        <f t="shared" si="70"/>
        <v>no</v>
      </c>
      <c r="AW163" s="812" t="str">
        <f t="shared" si="71"/>
        <v>no</v>
      </c>
      <c r="AX163" s="812" t="str">
        <f t="shared" si="72"/>
        <v>no</v>
      </c>
      <c r="AY163" s="812" t="str">
        <f t="shared" si="73"/>
        <v>no</v>
      </c>
      <c r="AZ163" s="813">
        <v>27</v>
      </c>
    </row>
    <row r="164" spans="31:52" x14ac:dyDescent="0.25">
      <c r="AE164" s="813">
        <v>26</v>
      </c>
      <c r="AF164" s="812" t="str">
        <f t="shared" si="62"/>
        <v/>
      </c>
      <c r="AG164" s="812" t="str">
        <f t="shared" si="74"/>
        <v>no</v>
      </c>
      <c r="AH164" s="812" t="str">
        <f t="shared" si="75"/>
        <v>no</v>
      </c>
      <c r="AI164" s="812" t="str">
        <f t="shared" si="76"/>
        <v>no</v>
      </c>
      <c r="AJ164" s="812" t="str">
        <f t="shared" si="77"/>
        <v>no</v>
      </c>
      <c r="AK164" s="812" t="str">
        <f t="shared" si="78"/>
        <v>no</v>
      </c>
      <c r="AL164" s="812" t="str">
        <f t="shared" si="79"/>
        <v>no</v>
      </c>
      <c r="AM164" s="812" t="str">
        <f t="shared" si="80"/>
        <v>no</v>
      </c>
      <c r="AN164" s="812" t="str">
        <f t="shared" si="81"/>
        <v>no</v>
      </c>
      <c r="AO164" s="812" t="str">
        <f t="shared" si="63"/>
        <v>no</v>
      </c>
      <c r="AP164" s="812" t="str">
        <f t="shared" si="64"/>
        <v>no</v>
      </c>
      <c r="AQ164" s="812" t="str">
        <f t="shared" si="65"/>
        <v>no</v>
      </c>
      <c r="AR164" s="812" t="str">
        <f t="shared" si="66"/>
        <v>no</v>
      </c>
      <c r="AS164" s="812" t="str">
        <f t="shared" si="67"/>
        <v>no</v>
      </c>
      <c r="AT164" s="812" t="str">
        <f t="shared" si="68"/>
        <v>no</v>
      </c>
      <c r="AU164" s="812" t="str">
        <f t="shared" si="69"/>
        <v>no</v>
      </c>
      <c r="AV164" s="812" t="str">
        <f t="shared" si="70"/>
        <v>no</v>
      </c>
      <c r="AW164" s="812" t="str">
        <f t="shared" si="71"/>
        <v>no</v>
      </c>
      <c r="AX164" s="812" t="str">
        <f t="shared" si="72"/>
        <v>no</v>
      </c>
      <c r="AY164" s="812" t="str">
        <f t="shared" si="73"/>
        <v>no</v>
      </c>
      <c r="AZ164" s="813">
        <v>26</v>
      </c>
    </row>
    <row r="165" spans="31:52" x14ac:dyDescent="0.25">
      <c r="AE165" s="813">
        <v>25</v>
      </c>
      <c r="AF165" s="812" t="str">
        <f t="shared" si="62"/>
        <v/>
      </c>
      <c r="AG165" s="812" t="str">
        <f t="shared" si="74"/>
        <v>no</v>
      </c>
      <c r="AH165" s="812" t="str">
        <f t="shared" si="75"/>
        <v>no</v>
      </c>
      <c r="AI165" s="812" t="str">
        <f t="shared" si="76"/>
        <v>no</v>
      </c>
      <c r="AJ165" s="812" t="str">
        <f t="shared" si="77"/>
        <v>no</v>
      </c>
      <c r="AK165" s="812" t="str">
        <f t="shared" si="78"/>
        <v>no</v>
      </c>
      <c r="AL165" s="812" t="str">
        <f t="shared" si="79"/>
        <v>no</v>
      </c>
      <c r="AM165" s="812" t="str">
        <f t="shared" si="80"/>
        <v>no</v>
      </c>
      <c r="AN165" s="812" t="str">
        <f t="shared" si="81"/>
        <v>no</v>
      </c>
      <c r="AO165" s="812" t="str">
        <f t="shared" si="63"/>
        <v>no</v>
      </c>
      <c r="AP165" s="812" t="str">
        <f t="shared" si="64"/>
        <v>no</v>
      </c>
      <c r="AQ165" s="812" t="str">
        <f t="shared" si="65"/>
        <v>no</v>
      </c>
      <c r="AR165" s="812" t="str">
        <f t="shared" si="66"/>
        <v>no</v>
      </c>
      <c r="AS165" s="812" t="str">
        <f t="shared" si="67"/>
        <v>no</v>
      </c>
      <c r="AT165" s="812" t="str">
        <f t="shared" si="68"/>
        <v>no</v>
      </c>
      <c r="AU165" s="812" t="str">
        <f t="shared" si="69"/>
        <v>no</v>
      </c>
      <c r="AV165" s="812" t="str">
        <f t="shared" si="70"/>
        <v>no</v>
      </c>
      <c r="AW165" s="812" t="str">
        <f t="shared" si="71"/>
        <v>no</v>
      </c>
      <c r="AX165" s="812" t="str">
        <f t="shared" si="72"/>
        <v>no</v>
      </c>
      <c r="AY165" s="812" t="str">
        <f t="shared" si="73"/>
        <v>no</v>
      </c>
      <c r="AZ165" s="813">
        <v>25</v>
      </c>
    </row>
    <row r="166" spans="31:52" x14ac:dyDescent="0.25">
      <c r="AE166" s="813">
        <v>24</v>
      </c>
      <c r="AF166" s="812" t="str">
        <f t="shared" si="62"/>
        <v/>
      </c>
      <c r="AG166" s="812" t="str">
        <f t="shared" si="74"/>
        <v>no</v>
      </c>
      <c r="AH166" s="812" t="str">
        <f t="shared" si="75"/>
        <v>no</v>
      </c>
      <c r="AI166" s="812" t="str">
        <f t="shared" si="76"/>
        <v>no</v>
      </c>
      <c r="AJ166" s="812" t="str">
        <f t="shared" si="77"/>
        <v>no</v>
      </c>
      <c r="AK166" s="812" t="str">
        <f t="shared" si="78"/>
        <v>no</v>
      </c>
      <c r="AL166" s="812" t="str">
        <f t="shared" si="79"/>
        <v>no</v>
      </c>
      <c r="AM166" s="812" t="str">
        <f t="shared" si="80"/>
        <v>no</v>
      </c>
      <c r="AN166" s="812" t="str">
        <f t="shared" si="81"/>
        <v>no</v>
      </c>
      <c r="AO166" s="812" t="str">
        <f t="shared" si="63"/>
        <v>no</v>
      </c>
      <c r="AP166" s="812" t="str">
        <f t="shared" si="64"/>
        <v>no</v>
      </c>
      <c r="AQ166" s="812" t="str">
        <f t="shared" si="65"/>
        <v>no</v>
      </c>
      <c r="AR166" s="812" t="str">
        <f t="shared" si="66"/>
        <v>no</v>
      </c>
      <c r="AS166" s="812" t="str">
        <f t="shared" si="67"/>
        <v>no</v>
      </c>
      <c r="AT166" s="812" t="str">
        <f t="shared" si="68"/>
        <v>no</v>
      </c>
      <c r="AU166" s="812" t="str">
        <f t="shared" si="69"/>
        <v>no</v>
      </c>
      <c r="AV166" s="812" t="str">
        <f t="shared" si="70"/>
        <v>no</v>
      </c>
      <c r="AW166" s="812" t="str">
        <f t="shared" si="71"/>
        <v>no</v>
      </c>
      <c r="AX166" s="812" t="str">
        <f t="shared" si="72"/>
        <v>no</v>
      </c>
      <c r="AY166" s="812" t="str">
        <f t="shared" si="73"/>
        <v>no</v>
      </c>
      <c r="AZ166" s="813">
        <v>24</v>
      </c>
    </row>
    <row r="167" spans="31:52" x14ac:dyDescent="0.25">
      <c r="AE167" s="813">
        <v>23</v>
      </c>
      <c r="AF167" s="812" t="str">
        <f t="shared" si="62"/>
        <v/>
      </c>
      <c r="AG167" s="812" t="str">
        <f t="shared" si="74"/>
        <v>no</v>
      </c>
      <c r="AH167" s="812" t="str">
        <f t="shared" si="75"/>
        <v>no</v>
      </c>
      <c r="AI167" s="812" t="str">
        <f t="shared" si="76"/>
        <v>no</v>
      </c>
      <c r="AJ167" s="812" t="str">
        <f t="shared" si="77"/>
        <v>no</v>
      </c>
      <c r="AK167" s="812" t="str">
        <f t="shared" si="78"/>
        <v>no</v>
      </c>
      <c r="AL167" s="812" t="str">
        <f t="shared" si="79"/>
        <v>no</v>
      </c>
      <c r="AM167" s="812" t="str">
        <f t="shared" si="80"/>
        <v>no</v>
      </c>
      <c r="AN167" s="812" t="str">
        <f t="shared" si="81"/>
        <v>no</v>
      </c>
      <c r="AO167" s="812" t="str">
        <f t="shared" si="63"/>
        <v>no</v>
      </c>
      <c r="AP167" s="812" t="str">
        <f t="shared" si="64"/>
        <v>no</v>
      </c>
      <c r="AQ167" s="812" t="str">
        <f t="shared" si="65"/>
        <v>no</v>
      </c>
      <c r="AR167" s="812" t="str">
        <f t="shared" si="66"/>
        <v>no</v>
      </c>
      <c r="AS167" s="812" t="str">
        <f t="shared" si="67"/>
        <v>no</v>
      </c>
      <c r="AT167" s="812" t="str">
        <f t="shared" si="68"/>
        <v>no</v>
      </c>
      <c r="AU167" s="812" t="str">
        <f t="shared" si="69"/>
        <v>no</v>
      </c>
      <c r="AV167" s="812" t="str">
        <f t="shared" si="70"/>
        <v>no</v>
      </c>
      <c r="AW167" s="812" t="str">
        <f t="shared" si="71"/>
        <v>no</v>
      </c>
      <c r="AX167" s="812" t="str">
        <f t="shared" si="72"/>
        <v>no</v>
      </c>
      <c r="AY167" s="812" t="str">
        <f t="shared" si="73"/>
        <v>no</v>
      </c>
      <c r="AZ167" s="813">
        <v>23</v>
      </c>
    </row>
    <row r="168" spans="31:52" x14ac:dyDescent="0.25">
      <c r="AE168" s="813">
        <v>22</v>
      </c>
      <c r="AF168" s="812" t="str">
        <f t="shared" si="62"/>
        <v/>
      </c>
      <c r="AG168" s="812" t="str">
        <f t="shared" si="74"/>
        <v>no</v>
      </c>
      <c r="AH168" s="812" t="str">
        <f t="shared" si="75"/>
        <v>no</v>
      </c>
      <c r="AI168" s="812" t="str">
        <f t="shared" si="76"/>
        <v>no</v>
      </c>
      <c r="AJ168" s="812" t="str">
        <f t="shared" si="77"/>
        <v>no</v>
      </c>
      <c r="AK168" s="812" t="str">
        <f t="shared" si="78"/>
        <v>no</v>
      </c>
      <c r="AL168" s="812" t="str">
        <f t="shared" si="79"/>
        <v>no</v>
      </c>
      <c r="AM168" s="812" t="str">
        <f t="shared" si="80"/>
        <v>no</v>
      </c>
      <c r="AN168" s="812" t="str">
        <f t="shared" si="81"/>
        <v>no</v>
      </c>
      <c r="AO168" s="812" t="str">
        <f t="shared" si="63"/>
        <v>no</v>
      </c>
      <c r="AP168" s="812" t="str">
        <f t="shared" si="64"/>
        <v>no</v>
      </c>
      <c r="AQ168" s="812" t="str">
        <f t="shared" si="65"/>
        <v>no</v>
      </c>
      <c r="AR168" s="812" t="str">
        <f t="shared" si="66"/>
        <v>no</v>
      </c>
      <c r="AS168" s="812" t="str">
        <f t="shared" si="67"/>
        <v>no</v>
      </c>
      <c r="AT168" s="812" t="str">
        <f t="shared" si="68"/>
        <v>no</v>
      </c>
      <c r="AU168" s="812" t="str">
        <f t="shared" si="69"/>
        <v>no</v>
      </c>
      <c r="AV168" s="812" t="str">
        <f t="shared" si="70"/>
        <v>no</v>
      </c>
      <c r="AW168" s="812" t="str">
        <f t="shared" si="71"/>
        <v>no</v>
      </c>
      <c r="AX168" s="812" t="str">
        <f t="shared" si="72"/>
        <v>no</v>
      </c>
      <c r="AY168" s="812" t="str">
        <f t="shared" si="73"/>
        <v>no</v>
      </c>
      <c r="AZ168" s="813">
        <v>22</v>
      </c>
    </row>
    <row r="169" spans="31:52" x14ac:dyDescent="0.25">
      <c r="AE169" s="813">
        <v>21</v>
      </c>
      <c r="AF169" s="812" t="str">
        <f t="shared" si="62"/>
        <v/>
      </c>
      <c r="AG169" s="812" t="str">
        <f t="shared" si="74"/>
        <v>no</v>
      </c>
      <c r="AH169" s="812" t="str">
        <f t="shared" si="75"/>
        <v>no</v>
      </c>
      <c r="AI169" s="812" t="str">
        <f t="shared" si="76"/>
        <v>no</v>
      </c>
      <c r="AJ169" s="812" t="str">
        <f t="shared" si="77"/>
        <v>no</v>
      </c>
      <c r="AK169" s="812" t="str">
        <f t="shared" si="78"/>
        <v>no</v>
      </c>
      <c r="AL169" s="812" t="str">
        <f t="shared" si="79"/>
        <v>no</v>
      </c>
      <c r="AM169" s="812" t="str">
        <f t="shared" si="80"/>
        <v>no</v>
      </c>
      <c r="AN169" s="812" t="str">
        <f t="shared" si="81"/>
        <v>no</v>
      </c>
      <c r="AO169" s="812" t="str">
        <f t="shared" si="63"/>
        <v>no</v>
      </c>
      <c r="AP169" s="812" t="str">
        <f t="shared" si="64"/>
        <v>no</v>
      </c>
      <c r="AQ169" s="812" t="str">
        <f t="shared" si="65"/>
        <v>no</v>
      </c>
      <c r="AR169" s="812" t="str">
        <f t="shared" si="66"/>
        <v>no</v>
      </c>
      <c r="AS169" s="812" t="str">
        <f t="shared" si="67"/>
        <v>no</v>
      </c>
      <c r="AT169" s="812" t="str">
        <f t="shared" si="68"/>
        <v>no</v>
      </c>
      <c r="AU169" s="812" t="str">
        <f t="shared" si="69"/>
        <v>no</v>
      </c>
      <c r="AV169" s="812" t="str">
        <f t="shared" si="70"/>
        <v>no</v>
      </c>
      <c r="AW169" s="812" t="str">
        <f t="shared" si="71"/>
        <v>no</v>
      </c>
      <c r="AX169" s="812" t="str">
        <f t="shared" si="72"/>
        <v>no</v>
      </c>
      <c r="AY169" s="812" t="str">
        <f t="shared" si="73"/>
        <v>no</v>
      </c>
      <c r="AZ169" s="813">
        <v>21</v>
      </c>
    </row>
    <row r="170" spans="31:52" x14ac:dyDescent="0.25">
      <c r="AE170" s="813">
        <v>20</v>
      </c>
      <c r="AF170" s="812" t="str">
        <f t="shared" si="62"/>
        <v/>
      </c>
      <c r="AG170" s="812" t="str">
        <f t="shared" si="74"/>
        <v>no</v>
      </c>
      <c r="AH170" s="812" t="str">
        <f t="shared" si="75"/>
        <v>no</v>
      </c>
      <c r="AI170" s="812" t="str">
        <f t="shared" si="76"/>
        <v>no</v>
      </c>
      <c r="AJ170" s="812" t="str">
        <f t="shared" si="77"/>
        <v>no</v>
      </c>
      <c r="AK170" s="812" t="str">
        <f t="shared" si="78"/>
        <v>no</v>
      </c>
      <c r="AL170" s="812" t="str">
        <f t="shared" si="79"/>
        <v>no</v>
      </c>
      <c r="AM170" s="812" t="str">
        <f t="shared" si="80"/>
        <v>no</v>
      </c>
      <c r="AN170" s="812" t="str">
        <f t="shared" si="81"/>
        <v>no</v>
      </c>
      <c r="AO170" s="812" t="str">
        <f t="shared" si="63"/>
        <v>no</v>
      </c>
      <c r="AP170" s="812" t="str">
        <f t="shared" si="64"/>
        <v>no</v>
      </c>
      <c r="AQ170" s="812" t="str">
        <f t="shared" si="65"/>
        <v>no</v>
      </c>
      <c r="AR170" s="812" t="str">
        <f t="shared" si="66"/>
        <v>no</v>
      </c>
      <c r="AS170" s="812" t="str">
        <f t="shared" si="67"/>
        <v>no</v>
      </c>
      <c r="AT170" s="812" t="str">
        <f t="shared" si="68"/>
        <v>no</v>
      </c>
      <c r="AU170" s="812" t="str">
        <f t="shared" si="69"/>
        <v>no</v>
      </c>
      <c r="AV170" s="812" t="str">
        <f t="shared" si="70"/>
        <v>no</v>
      </c>
      <c r="AW170" s="812" t="str">
        <f t="shared" si="71"/>
        <v>no</v>
      </c>
      <c r="AX170" s="812" t="str">
        <f t="shared" si="72"/>
        <v>no</v>
      </c>
      <c r="AY170" s="812" t="str">
        <f t="shared" si="73"/>
        <v>no</v>
      </c>
      <c r="AZ170" s="813">
        <v>20</v>
      </c>
    </row>
    <row r="171" spans="31:52" x14ac:dyDescent="0.25">
      <c r="AE171" s="813">
        <v>19</v>
      </c>
      <c r="AF171" s="812" t="str">
        <f t="shared" si="62"/>
        <v/>
      </c>
      <c r="AG171" s="812" t="str">
        <f t="shared" si="74"/>
        <v>no</v>
      </c>
      <c r="AH171" s="812" t="str">
        <f t="shared" si="75"/>
        <v>no</v>
      </c>
      <c r="AI171" s="812" t="str">
        <f t="shared" si="76"/>
        <v>no</v>
      </c>
      <c r="AJ171" s="812" t="str">
        <f t="shared" si="77"/>
        <v>no</v>
      </c>
      <c r="AK171" s="812" t="str">
        <f t="shared" si="78"/>
        <v>no</v>
      </c>
      <c r="AL171" s="812" t="str">
        <f t="shared" si="79"/>
        <v>no</v>
      </c>
      <c r="AM171" s="812" t="str">
        <f t="shared" si="80"/>
        <v>no</v>
      </c>
      <c r="AN171" s="812" t="str">
        <f t="shared" si="81"/>
        <v>no</v>
      </c>
      <c r="AO171" s="812" t="str">
        <f t="shared" si="63"/>
        <v>no</v>
      </c>
      <c r="AP171" s="812" t="str">
        <f t="shared" si="64"/>
        <v>no</v>
      </c>
      <c r="AQ171" s="812" t="str">
        <f t="shared" si="65"/>
        <v>no</v>
      </c>
      <c r="AR171" s="812" t="str">
        <f t="shared" si="66"/>
        <v>no</v>
      </c>
      <c r="AS171" s="812" t="str">
        <f t="shared" si="67"/>
        <v>no</v>
      </c>
      <c r="AT171" s="812" t="str">
        <f t="shared" si="68"/>
        <v>no</v>
      </c>
      <c r="AU171" s="812" t="str">
        <f t="shared" si="69"/>
        <v>no</v>
      </c>
      <c r="AV171" s="812" t="str">
        <f t="shared" si="70"/>
        <v>no</v>
      </c>
      <c r="AW171" s="812" t="str">
        <f t="shared" si="71"/>
        <v>no</v>
      </c>
      <c r="AX171" s="812" t="str">
        <f t="shared" si="72"/>
        <v>no</v>
      </c>
      <c r="AY171" s="812" t="str">
        <f t="shared" si="73"/>
        <v>no</v>
      </c>
      <c r="AZ171" s="813">
        <v>19</v>
      </c>
    </row>
    <row r="172" spans="31:52" x14ac:dyDescent="0.25">
      <c r="AE172" s="813">
        <v>18</v>
      </c>
      <c r="AF172" s="812" t="str">
        <f t="shared" si="62"/>
        <v/>
      </c>
      <c r="AG172" s="812" t="str">
        <f t="shared" si="74"/>
        <v>no</v>
      </c>
      <c r="AH172" s="812" t="str">
        <f t="shared" si="75"/>
        <v>no</v>
      </c>
      <c r="AI172" s="812" t="str">
        <f t="shared" si="76"/>
        <v>no</v>
      </c>
      <c r="AJ172" s="812" t="str">
        <f t="shared" si="77"/>
        <v>no</v>
      </c>
      <c r="AK172" s="812" t="str">
        <f t="shared" si="78"/>
        <v>no</v>
      </c>
      <c r="AL172" s="812" t="str">
        <f t="shared" si="79"/>
        <v>no</v>
      </c>
      <c r="AM172" s="812" t="str">
        <f t="shared" si="80"/>
        <v>no</v>
      </c>
      <c r="AN172" s="812" t="str">
        <f t="shared" si="81"/>
        <v>no</v>
      </c>
      <c r="AO172" s="812" t="str">
        <f t="shared" si="63"/>
        <v>no</v>
      </c>
      <c r="AP172" s="812" t="str">
        <f t="shared" si="64"/>
        <v>no</v>
      </c>
      <c r="AQ172" s="812" t="str">
        <f t="shared" si="65"/>
        <v>no</v>
      </c>
      <c r="AR172" s="812" t="str">
        <f t="shared" si="66"/>
        <v>no</v>
      </c>
      <c r="AS172" s="812" t="str">
        <f t="shared" si="67"/>
        <v>no</v>
      </c>
      <c r="AT172" s="812" t="str">
        <f t="shared" si="68"/>
        <v>no</v>
      </c>
      <c r="AU172" s="812" t="str">
        <f t="shared" si="69"/>
        <v>no</v>
      </c>
      <c r="AV172" s="812" t="str">
        <f t="shared" si="70"/>
        <v>no</v>
      </c>
      <c r="AW172" s="812" t="str">
        <f t="shared" si="71"/>
        <v>no</v>
      </c>
      <c r="AX172" s="812" t="str">
        <f t="shared" si="72"/>
        <v>no</v>
      </c>
      <c r="AY172" s="812" t="str">
        <f t="shared" si="73"/>
        <v>no</v>
      </c>
      <c r="AZ172" s="813">
        <v>18</v>
      </c>
    </row>
    <row r="173" spans="31:52" x14ac:dyDescent="0.25">
      <c r="AE173" s="813">
        <v>17</v>
      </c>
      <c r="AF173" s="812" t="str">
        <f t="shared" si="62"/>
        <v/>
      </c>
      <c r="AG173" s="812" t="str">
        <f t="shared" si="74"/>
        <v>no</v>
      </c>
      <c r="AH173" s="812" t="str">
        <f t="shared" si="75"/>
        <v>no</v>
      </c>
      <c r="AI173" s="812" t="str">
        <f t="shared" si="76"/>
        <v>no</v>
      </c>
      <c r="AJ173" s="812" t="str">
        <f t="shared" si="77"/>
        <v>no</v>
      </c>
      <c r="AK173" s="812" t="str">
        <f t="shared" si="78"/>
        <v>no</v>
      </c>
      <c r="AL173" s="812" t="str">
        <f t="shared" si="79"/>
        <v>no</v>
      </c>
      <c r="AM173" s="812" t="str">
        <f t="shared" si="80"/>
        <v>no</v>
      </c>
      <c r="AN173" s="812" t="str">
        <f t="shared" si="81"/>
        <v>no</v>
      </c>
      <c r="AO173" s="812" t="str">
        <f t="shared" si="63"/>
        <v>no</v>
      </c>
      <c r="AP173" s="812" t="str">
        <f t="shared" si="64"/>
        <v>no</v>
      </c>
      <c r="AQ173" s="812" t="str">
        <f t="shared" si="65"/>
        <v>no</v>
      </c>
      <c r="AR173" s="812" t="str">
        <f t="shared" si="66"/>
        <v>no</v>
      </c>
      <c r="AS173" s="812" t="str">
        <f t="shared" si="67"/>
        <v>no</v>
      </c>
      <c r="AT173" s="812" t="str">
        <f t="shared" si="68"/>
        <v>no</v>
      </c>
      <c r="AU173" s="812" t="str">
        <f t="shared" si="69"/>
        <v>no</v>
      </c>
      <c r="AV173" s="812" t="str">
        <f t="shared" si="70"/>
        <v>no</v>
      </c>
      <c r="AW173" s="812" t="str">
        <f t="shared" si="71"/>
        <v>no</v>
      </c>
      <c r="AX173" s="812" t="str">
        <f t="shared" si="72"/>
        <v>no</v>
      </c>
      <c r="AY173" s="812" t="str">
        <f t="shared" si="73"/>
        <v>no</v>
      </c>
      <c r="AZ173" s="813">
        <v>17</v>
      </c>
    </row>
    <row r="174" spans="31:52" x14ac:dyDescent="0.25">
      <c r="AE174" s="813">
        <v>16</v>
      </c>
      <c r="AF174" s="812" t="str">
        <f t="shared" si="62"/>
        <v/>
      </c>
      <c r="AG174" s="812" t="str">
        <f t="shared" si="74"/>
        <v>no</v>
      </c>
      <c r="AH174" s="812" t="str">
        <f t="shared" si="75"/>
        <v>no</v>
      </c>
      <c r="AI174" s="812" t="str">
        <f t="shared" si="76"/>
        <v>no</v>
      </c>
      <c r="AJ174" s="812" t="str">
        <f t="shared" si="77"/>
        <v>no</v>
      </c>
      <c r="AK174" s="812" t="str">
        <f t="shared" si="78"/>
        <v>no</v>
      </c>
      <c r="AL174" s="812" t="str">
        <f t="shared" si="79"/>
        <v>no</v>
      </c>
      <c r="AM174" s="812" t="str">
        <f t="shared" si="80"/>
        <v>no</v>
      </c>
      <c r="AN174" s="812" t="str">
        <f t="shared" si="81"/>
        <v>no</v>
      </c>
      <c r="AO174" s="812" t="str">
        <f t="shared" si="63"/>
        <v>no</v>
      </c>
      <c r="AP174" s="812" t="str">
        <f t="shared" si="64"/>
        <v>no</v>
      </c>
      <c r="AQ174" s="812" t="str">
        <f t="shared" si="65"/>
        <v>no</v>
      </c>
      <c r="AR174" s="812" t="str">
        <f t="shared" si="66"/>
        <v>no</v>
      </c>
      <c r="AS174" s="812" t="str">
        <f t="shared" si="67"/>
        <v>no</v>
      </c>
      <c r="AT174" s="812" t="str">
        <f t="shared" si="68"/>
        <v>no</v>
      </c>
      <c r="AU174" s="812" t="str">
        <f t="shared" si="69"/>
        <v>no</v>
      </c>
      <c r="AV174" s="812" t="str">
        <f t="shared" si="70"/>
        <v>no</v>
      </c>
      <c r="AW174" s="812" t="str">
        <f t="shared" si="71"/>
        <v>no</v>
      </c>
      <c r="AX174" s="812" t="str">
        <f t="shared" si="72"/>
        <v>no</v>
      </c>
      <c r="AY174" s="812" t="str">
        <f t="shared" si="73"/>
        <v>no</v>
      </c>
      <c r="AZ174" s="813">
        <v>16</v>
      </c>
    </row>
    <row r="175" spans="31:52" x14ac:dyDescent="0.25">
      <c r="AE175" s="813">
        <v>15</v>
      </c>
      <c r="AF175" s="812" t="str">
        <f t="shared" si="62"/>
        <v/>
      </c>
      <c r="AG175" s="812" t="str">
        <f t="shared" si="74"/>
        <v>no</v>
      </c>
      <c r="AH175" s="812" t="str">
        <f t="shared" si="75"/>
        <v>no</v>
      </c>
      <c r="AI175" s="812" t="str">
        <f t="shared" si="76"/>
        <v>no</v>
      </c>
      <c r="AJ175" s="812" t="str">
        <f t="shared" si="77"/>
        <v>no</v>
      </c>
      <c r="AK175" s="812" t="str">
        <f t="shared" si="78"/>
        <v>no</v>
      </c>
      <c r="AL175" s="812" t="str">
        <f t="shared" si="79"/>
        <v>no</v>
      </c>
      <c r="AM175" s="812" t="str">
        <f t="shared" si="80"/>
        <v>no</v>
      </c>
      <c r="AN175" s="812" t="str">
        <f t="shared" si="81"/>
        <v>no</v>
      </c>
      <c r="AO175" s="812" t="str">
        <f t="shared" si="63"/>
        <v>no</v>
      </c>
      <c r="AP175" s="812" t="str">
        <f t="shared" si="64"/>
        <v>no</v>
      </c>
      <c r="AQ175" s="812" t="str">
        <f t="shared" si="65"/>
        <v>no</v>
      </c>
      <c r="AR175" s="812" t="str">
        <f t="shared" si="66"/>
        <v>no</v>
      </c>
      <c r="AS175" s="812" t="str">
        <f t="shared" si="67"/>
        <v>no</v>
      </c>
      <c r="AT175" s="812" t="str">
        <f t="shared" si="68"/>
        <v>no</v>
      </c>
      <c r="AU175" s="812" t="str">
        <f t="shared" si="69"/>
        <v>no</v>
      </c>
      <c r="AV175" s="812" t="str">
        <f t="shared" si="70"/>
        <v>no</v>
      </c>
      <c r="AW175" s="812" t="str">
        <f t="shared" si="71"/>
        <v>no</v>
      </c>
      <c r="AX175" s="812" t="str">
        <f t="shared" si="72"/>
        <v>no</v>
      </c>
      <c r="AY175" s="812" t="str">
        <f t="shared" si="73"/>
        <v>no</v>
      </c>
      <c r="AZ175" s="813">
        <v>15</v>
      </c>
    </row>
    <row r="176" spans="31:52" x14ac:dyDescent="0.25">
      <c r="AE176" s="813">
        <v>14</v>
      </c>
      <c r="AF176" s="812" t="str">
        <f t="shared" si="62"/>
        <v/>
      </c>
      <c r="AG176" s="812" t="str">
        <f t="shared" si="74"/>
        <v>no</v>
      </c>
      <c r="AH176" s="812" t="str">
        <f t="shared" si="75"/>
        <v>no</v>
      </c>
      <c r="AI176" s="812" t="str">
        <f t="shared" si="76"/>
        <v>no</v>
      </c>
      <c r="AJ176" s="812" t="str">
        <f t="shared" si="77"/>
        <v>no</v>
      </c>
      <c r="AK176" s="812" t="str">
        <f t="shared" si="78"/>
        <v>no</v>
      </c>
      <c r="AL176" s="812" t="str">
        <f t="shared" si="79"/>
        <v>no</v>
      </c>
      <c r="AM176" s="812" t="str">
        <f t="shared" si="80"/>
        <v>no</v>
      </c>
      <c r="AN176" s="812" t="str">
        <f t="shared" si="81"/>
        <v>no</v>
      </c>
      <c r="AO176" s="812" t="str">
        <f t="shared" si="63"/>
        <v>no</v>
      </c>
      <c r="AP176" s="812" t="str">
        <f t="shared" si="64"/>
        <v>no</v>
      </c>
      <c r="AQ176" s="812" t="str">
        <f t="shared" si="65"/>
        <v>no</v>
      </c>
      <c r="AR176" s="812" t="str">
        <f t="shared" si="66"/>
        <v>no</v>
      </c>
      <c r="AS176" s="812" t="str">
        <f t="shared" si="67"/>
        <v>no</v>
      </c>
      <c r="AT176" s="812" t="str">
        <f t="shared" si="68"/>
        <v>no</v>
      </c>
      <c r="AU176" s="812" t="str">
        <f t="shared" si="69"/>
        <v>no</v>
      </c>
      <c r="AV176" s="812" t="str">
        <f t="shared" si="70"/>
        <v>no</v>
      </c>
      <c r="AW176" s="812" t="str">
        <f t="shared" si="71"/>
        <v>no</v>
      </c>
      <c r="AX176" s="812" t="str">
        <f t="shared" si="72"/>
        <v>no</v>
      </c>
      <c r="AY176" s="812" t="str">
        <f t="shared" si="73"/>
        <v>no</v>
      </c>
      <c r="AZ176" s="813">
        <v>14</v>
      </c>
    </row>
    <row r="177" spans="31:52" x14ac:dyDescent="0.25">
      <c r="AE177" s="813">
        <v>13</v>
      </c>
      <c r="AF177" s="812" t="str">
        <f t="shared" si="62"/>
        <v/>
      </c>
      <c r="AG177" s="812" t="str">
        <f t="shared" si="74"/>
        <v>no</v>
      </c>
      <c r="AH177" s="812" t="str">
        <f t="shared" si="75"/>
        <v>no</v>
      </c>
      <c r="AI177" s="812" t="str">
        <f t="shared" si="76"/>
        <v>no</v>
      </c>
      <c r="AJ177" s="812" t="str">
        <f t="shared" si="77"/>
        <v>no</v>
      </c>
      <c r="AK177" s="812" t="str">
        <f t="shared" si="78"/>
        <v>no</v>
      </c>
      <c r="AL177" s="812" t="str">
        <f t="shared" si="79"/>
        <v>no</v>
      </c>
      <c r="AM177" s="812" t="str">
        <f t="shared" si="80"/>
        <v>no</v>
      </c>
      <c r="AN177" s="812" t="str">
        <f t="shared" si="81"/>
        <v>no</v>
      </c>
      <c r="AO177" s="812" t="str">
        <f t="shared" si="63"/>
        <v>no</v>
      </c>
      <c r="AP177" s="812" t="str">
        <f t="shared" si="64"/>
        <v>no</v>
      </c>
      <c r="AQ177" s="812" t="str">
        <f t="shared" si="65"/>
        <v>no</v>
      </c>
      <c r="AR177" s="812" t="str">
        <f t="shared" si="66"/>
        <v>no</v>
      </c>
      <c r="AS177" s="812" t="str">
        <f t="shared" si="67"/>
        <v>no</v>
      </c>
      <c r="AT177" s="812" t="str">
        <f t="shared" si="68"/>
        <v>no</v>
      </c>
      <c r="AU177" s="812" t="str">
        <f t="shared" si="69"/>
        <v>no</v>
      </c>
      <c r="AV177" s="812" t="str">
        <f t="shared" si="70"/>
        <v>no</v>
      </c>
      <c r="AW177" s="812" t="str">
        <f t="shared" si="71"/>
        <v>no</v>
      </c>
      <c r="AX177" s="812" t="str">
        <f t="shared" si="72"/>
        <v>no</v>
      </c>
      <c r="AY177" s="812" t="str">
        <f t="shared" si="73"/>
        <v>no</v>
      </c>
      <c r="AZ177" s="813">
        <v>13</v>
      </c>
    </row>
    <row r="178" spans="31:52" x14ac:dyDescent="0.25">
      <c r="AE178" s="813">
        <v>12</v>
      </c>
      <c r="AF178" s="812" t="str">
        <f t="shared" si="62"/>
        <v/>
      </c>
      <c r="AG178" s="812" t="str">
        <f t="shared" si="74"/>
        <v>no</v>
      </c>
      <c r="AH178" s="812" t="str">
        <f t="shared" si="75"/>
        <v>no</v>
      </c>
      <c r="AI178" s="812" t="str">
        <f t="shared" si="76"/>
        <v>no</v>
      </c>
      <c r="AJ178" s="812" t="str">
        <f t="shared" si="77"/>
        <v>no</v>
      </c>
      <c r="AK178" s="812" t="str">
        <f t="shared" si="78"/>
        <v>no</v>
      </c>
      <c r="AL178" s="812" t="str">
        <f t="shared" si="79"/>
        <v>no</v>
      </c>
      <c r="AM178" s="812" t="str">
        <f t="shared" si="80"/>
        <v>no</v>
      </c>
      <c r="AN178" s="812" t="str">
        <f t="shared" si="81"/>
        <v>no</v>
      </c>
      <c r="AO178" s="812" t="str">
        <f t="shared" si="63"/>
        <v>no</v>
      </c>
      <c r="AP178" s="812" t="str">
        <f t="shared" si="64"/>
        <v>no</v>
      </c>
      <c r="AQ178" s="812" t="str">
        <f t="shared" si="65"/>
        <v>no</v>
      </c>
      <c r="AR178" s="812" t="str">
        <f t="shared" si="66"/>
        <v>no</v>
      </c>
      <c r="AS178" s="812" t="str">
        <f t="shared" si="67"/>
        <v>no</v>
      </c>
      <c r="AT178" s="812" t="str">
        <f t="shared" si="68"/>
        <v>no</v>
      </c>
      <c r="AU178" s="812" t="str">
        <f t="shared" si="69"/>
        <v>no</v>
      </c>
      <c r="AV178" s="812" t="str">
        <f t="shared" si="70"/>
        <v>no</v>
      </c>
      <c r="AW178" s="812" t="str">
        <f t="shared" si="71"/>
        <v>no</v>
      </c>
      <c r="AX178" s="812" t="str">
        <f t="shared" si="72"/>
        <v>no</v>
      </c>
      <c r="AY178" s="812" t="str">
        <f t="shared" si="73"/>
        <v>no</v>
      </c>
      <c r="AZ178" s="813">
        <v>12</v>
      </c>
    </row>
    <row r="179" spans="31:52" x14ac:dyDescent="0.25">
      <c r="AE179" s="813">
        <v>11</v>
      </c>
      <c r="AF179" s="812" t="str">
        <f t="shared" si="62"/>
        <v/>
      </c>
      <c r="AG179" s="812" t="str">
        <f t="shared" si="74"/>
        <v>no</v>
      </c>
      <c r="AH179" s="812" t="str">
        <f t="shared" si="75"/>
        <v>no</v>
      </c>
      <c r="AI179" s="812" t="str">
        <f t="shared" si="76"/>
        <v>no</v>
      </c>
      <c r="AJ179" s="812" t="str">
        <f t="shared" si="77"/>
        <v>no</v>
      </c>
      <c r="AK179" s="812" t="str">
        <f t="shared" si="78"/>
        <v>no</v>
      </c>
      <c r="AL179" s="812" t="str">
        <f t="shared" si="79"/>
        <v>no</v>
      </c>
      <c r="AM179" s="812" t="str">
        <f t="shared" si="80"/>
        <v>no</v>
      </c>
      <c r="AN179" s="812" t="str">
        <f t="shared" si="81"/>
        <v>no</v>
      </c>
      <c r="AO179" s="812" t="str">
        <f t="shared" si="63"/>
        <v>no</v>
      </c>
      <c r="AP179" s="812" t="str">
        <f t="shared" si="64"/>
        <v>no</v>
      </c>
      <c r="AQ179" s="812" t="str">
        <f t="shared" si="65"/>
        <v>no</v>
      </c>
      <c r="AR179" s="812" t="str">
        <f t="shared" si="66"/>
        <v>no</v>
      </c>
      <c r="AS179" s="812" t="str">
        <f t="shared" si="67"/>
        <v>no</v>
      </c>
      <c r="AT179" s="812" t="str">
        <f t="shared" si="68"/>
        <v>no</v>
      </c>
      <c r="AU179" s="812" t="str">
        <f t="shared" si="69"/>
        <v>no</v>
      </c>
      <c r="AV179" s="812" t="str">
        <f t="shared" si="70"/>
        <v>no</v>
      </c>
      <c r="AW179" s="812" t="str">
        <f t="shared" si="71"/>
        <v>no</v>
      </c>
      <c r="AX179" s="812" t="str">
        <f t="shared" si="72"/>
        <v>no</v>
      </c>
      <c r="AY179" s="812" t="str">
        <f t="shared" si="73"/>
        <v>no</v>
      </c>
      <c r="AZ179" s="813">
        <v>11</v>
      </c>
    </row>
    <row r="180" spans="31:52" x14ac:dyDescent="0.25">
      <c r="AE180" s="813">
        <v>10</v>
      </c>
      <c r="AF180" s="812" t="str">
        <f t="shared" si="62"/>
        <v/>
      </c>
      <c r="AG180" s="812" t="str">
        <f t="shared" si="74"/>
        <v>no</v>
      </c>
      <c r="AH180" s="812" t="str">
        <f t="shared" si="75"/>
        <v>no</v>
      </c>
      <c r="AI180" s="812" t="str">
        <f t="shared" si="76"/>
        <v>no</v>
      </c>
      <c r="AJ180" s="812" t="str">
        <f t="shared" si="77"/>
        <v>no</v>
      </c>
      <c r="AK180" s="812" t="str">
        <f t="shared" si="78"/>
        <v>no</v>
      </c>
      <c r="AL180" s="812" t="str">
        <f t="shared" si="79"/>
        <v>no</v>
      </c>
      <c r="AM180" s="812" t="str">
        <f t="shared" si="80"/>
        <v>no</v>
      </c>
      <c r="AN180" s="812" t="str">
        <f t="shared" si="81"/>
        <v>no</v>
      </c>
      <c r="AO180" s="812" t="str">
        <f t="shared" si="63"/>
        <v>no</v>
      </c>
      <c r="AP180" s="812" t="str">
        <f t="shared" si="64"/>
        <v>no</v>
      </c>
      <c r="AQ180" s="812" t="str">
        <f t="shared" si="65"/>
        <v>no</v>
      </c>
      <c r="AR180" s="812" t="str">
        <f t="shared" si="66"/>
        <v>no</v>
      </c>
      <c r="AS180" s="812" t="str">
        <f t="shared" si="67"/>
        <v>no</v>
      </c>
      <c r="AT180" s="812" t="str">
        <f t="shared" si="68"/>
        <v>no</v>
      </c>
      <c r="AU180" s="812" t="str">
        <f t="shared" si="69"/>
        <v>no</v>
      </c>
      <c r="AV180" s="812" t="str">
        <f t="shared" si="70"/>
        <v>no</v>
      </c>
      <c r="AW180" s="812" t="str">
        <f t="shared" si="71"/>
        <v>no</v>
      </c>
      <c r="AX180" s="812" t="str">
        <f t="shared" si="72"/>
        <v>no</v>
      </c>
      <c r="AY180" s="812" t="str">
        <f t="shared" si="73"/>
        <v>no</v>
      </c>
      <c r="AZ180" s="813">
        <v>10</v>
      </c>
    </row>
    <row r="181" spans="31:52" x14ac:dyDescent="0.25">
      <c r="AE181" s="813">
        <v>9</v>
      </c>
      <c r="AF181" s="812" t="str">
        <f t="shared" si="62"/>
        <v/>
      </c>
      <c r="AG181" s="812" t="str">
        <f t="shared" si="74"/>
        <v>no</v>
      </c>
      <c r="AH181" s="812" t="str">
        <f t="shared" si="75"/>
        <v>no</v>
      </c>
      <c r="AI181" s="812" t="str">
        <f t="shared" si="76"/>
        <v>no</v>
      </c>
      <c r="AJ181" s="812" t="str">
        <f t="shared" si="77"/>
        <v>no</v>
      </c>
      <c r="AK181" s="812" t="str">
        <f t="shared" si="78"/>
        <v>no</v>
      </c>
      <c r="AL181" s="812" t="str">
        <f t="shared" si="79"/>
        <v>no</v>
      </c>
      <c r="AM181" s="812" t="str">
        <f t="shared" si="80"/>
        <v>no</v>
      </c>
      <c r="AN181" s="812" t="str">
        <f t="shared" si="81"/>
        <v>no</v>
      </c>
      <c r="AO181" s="812" t="str">
        <f t="shared" si="63"/>
        <v>no</v>
      </c>
      <c r="AP181" s="812" t="str">
        <f t="shared" si="64"/>
        <v>no</v>
      </c>
      <c r="AQ181" s="812" t="str">
        <f t="shared" si="65"/>
        <v>no</v>
      </c>
      <c r="AR181" s="812" t="str">
        <f t="shared" si="66"/>
        <v>no</v>
      </c>
      <c r="AS181" s="812" t="str">
        <f t="shared" si="67"/>
        <v>no</v>
      </c>
      <c r="AT181" s="812" t="str">
        <f t="shared" si="68"/>
        <v>no</v>
      </c>
      <c r="AU181" s="812" t="str">
        <f t="shared" si="69"/>
        <v>no</v>
      </c>
      <c r="AV181" s="812" t="str">
        <f t="shared" si="70"/>
        <v>no</v>
      </c>
      <c r="AW181" s="812" t="str">
        <f t="shared" si="71"/>
        <v>no</v>
      </c>
      <c r="AX181" s="812" t="str">
        <f t="shared" si="72"/>
        <v>no</v>
      </c>
      <c r="AY181" s="812" t="str">
        <f t="shared" si="73"/>
        <v>no</v>
      </c>
      <c r="AZ181" s="813">
        <v>9</v>
      </c>
    </row>
    <row r="182" spans="31:52" x14ac:dyDescent="0.25">
      <c r="AE182" s="813">
        <v>8</v>
      </c>
      <c r="AF182" s="812" t="str">
        <f t="shared" si="62"/>
        <v/>
      </c>
      <c r="AG182" s="812" t="str">
        <f t="shared" si="74"/>
        <v>no</v>
      </c>
      <c r="AH182" s="812" t="str">
        <f t="shared" si="75"/>
        <v>no</v>
      </c>
      <c r="AI182" s="812" t="str">
        <f t="shared" si="76"/>
        <v>no</v>
      </c>
      <c r="AJ182" s="812" t="str">
        <f t="shared" si="77"/>
        <v>no</v>
      </c>
      <c r="AK182" s="812" t="str">
        <f t="shared" si="78"/>
        <v>no</v>
      </c>
      <c r="AL182" s="812" t="str">
        <f t="shared" si="79"/>
        <v>no</v>
      </c>
      <c r="AM182" s="812" t="str">
        <f t="shared" si="80"/>
        <v>no</v>
      </c>
      <c r="AN182" s="812" t="str">
        <f t="shared" si="81"/>
        <v>no</v>
      </c>
      <c r="AO182" s="812" t="str">
        <f t="shared" si="63"/>
        <v>no</v>
      </c>
      <c r="AP182" s="812" t="str">
        <f t="shared" si="64"/>
        <v>no</v>
      </c>
      <c r="AQ182" s="812" t="str">
        <f t="shared" si="65"/>
        <v>no</v>
      </c>
      <c r="AR182" s="812" t="str">
        <f t="shared" si="66"/>
        <v>no</v>
      </c>
      <c r="AS182" s="812" t="str">
        <f t="shared" si="67"/>
        <v>no</v>
      </c>
      <c r="AT182" s="812" t="str">
        <f t="shared" si="68"/>
        <v>no</v>
      </c>
      <c r="AU182" s="812" t="str">
        <f t="shared" si="69"/>
        <v>no</v>
      </c>
      <c r="AV182" s="812" t="str">
        <f t="shared" si="70"/>
        <v>no</v>
      </c>
      <c r="AW182" s="812" t="str">
        <f t="shared" si="71"/>
        <v>no</v>
      </c>
      <c r="AX182" s="812" t="str">
        <f t="shared" si="72"/>
        <v>no</v>
      </c>
      <c r="AY182" s="812" t="str">
        <f t="shared" si="73"/>
        <v>no</v>
      </c>
      <c r="AZ182" s="813">
        <v>8</v>
      </c>
    </row>
    <row r="183" spans="31:52" x14ac:dyDescent="0.25">
      <c r="AE183" s="813">
        <v>7</v>
      </c>
      <c r="AF183" s="812" t="str">
        <f t="shared" si="62"/>
        <v/>
      </c>
      <c r="AG183" s="812" t="str">
        <f t="shared" si="74"/>
        <v>no</v>
      </c>
      <c r="AH183" s="812" t="str">
        <f t="shared" si="75"/>
        <v>no</v>
      </c>
      <c r="AI183" s="812" t="str">
        <f t="shared" si="76"/>
        <v>no</v>
      </c>
      <c r="AJ183" s="812" t="str">
        <f t="shared" si="77"/>
        <v>no</v>
      </c>
      <c r="AK183" s="812" t="str">
        <f t="shared" si="78"/>
        <v>no</v>
      </c>
      <c r="AL183" s="812" t="str">
        <f t="shared" si="79"/>
        <v>no</v>
      </c>
      <c r="AM183" s="812" t="str">
        <f t="shared" si="80"/>
        <v>no</v>
      </c>
      <c r="AN183" s="812" t="str">
        <f t="shared" si="81"/>
        <v>no</v>
      </c>
      <c r="AO183" s="812" t="str">
        <f t="shared" si="63"/>
        <v>no</v>
      </c>
      <c r="AP183" s="812" t="str">
        <f t="shared" si="64"/>
        <v>no</v>
      </c>
      <c r="AQ183" s="812" t="str">
        <f t="shared" si="65"/>
        <v>no</v>
      </c>
      <c r="AR183" s="812" t="str">
        <f t="shared" si="66"/>
        <v>no</v>
      </c>
      <c r="AS183" s="812" t="str">
        <f t="shared" si="67"/>
        <v>no</v>
      </c>
      <c r="AT183" s="812" t="str">
        <f t="shared" si="68"/>
        <v>no</v>
      </c>
      <c r="AU183" s="812" t="str">
        <f t="shared" si="69"/>
        <v>no</v>
      </c>
      <c r="AV183" s="812" t="str">
        <f t="shared" si="70"/>
        <v>no</v>
      </c>
      <c r="AW183" s="812" t="str">
        <f t="shared" si="71"/>
        <v>no</v>
      </c>
      <c r="AX183" s="812" t="str">
        <f t="shared" si="72"/>
        <v>no</v>
      </c>
      <c r="AY183" s="812" t="str">
        <f t="shared" si="73"/>
        <v>no</v>
      </c>
      <c r="AZ183" s="813">
        <v>7</v>
      </c>
    </row>
    <row r="184" spans="31:52" x14ac:dyDescent="0.25">
      <c r="AE184" s="813">
        <v>6</v>
      </c>
      <c r="AF184" s="812" t="str">
        <f t="shared" si="62"/>
        <v/>
      </c>
      <c r="AG184" s="812" t="str">
        <f t="shared" si="74"/>
        <v>no</v>
      </c>
      <c r="AH184" s="812" t="str">
        <f t="shared" si="75"/>
        <v>no</v>
      </c>
      <c r="AI184" s="812" t="str">
        <f t="shared" si="76"/>
        <v>no</v>
      </c>
      <c r="AJ184" s="812" t="str">
        <f t="shared" si="77"/>
        <v>no</v>
      </c>
      <c r="AK184" s="812" t="str">
        <f t="shared" si="78"/>
        <v>no</v>
      </c>
      <c r="AL184" s="812" t="str">
        <f t="shared" si="79"/>
        <v>no</v>
      </c>
      <c r="AM184" s="812" t="str">
        <f t="shared" si="80"/>
        <v>no</v>
      </c>
      <c r="AN184" s="812" t="str">
        <f t="shared" si="81"/>
        <v>no</v>
      </c>
      <c r="AO184" s="812" t="str">
        <f t="shared" si="63"/>
        <v>no</v>
      </c>
      <c r="AP184" s="812" t="str">
        <f t="shared" si="64"/>
        <v>no</v>
      </c>
      <c r="AQ184" s="812" t="str">
        <f t="shared" si="65"/>
        <v>no</v>
      </c>
      <c r="AR184" s="812" t="str">
        <f t="shared" si="66"/>
        <v>no</v>
      </c>
      <c r="AS184" s="812" t="str">
        <f t="shared" si="67"/>
        <v>no</v>
      </c>
      <c r="AT184" s="812" t="str">
        <f t="shared" si="68"/>
        <v>no</v>
      </c>
      <c r="AU184" s="812" t="str">
        <f t="shared" si="69"/>
        <v>no</v>
      </c>
      <c r="AV184" s="812" t="str">
        <f t="shared" si="70"/>
        <v>no</v>
      </c>
      <c r="AW184" s="812" t="str">
        <f t="shared" si="71"/>
        <v>no</v>
      </c>
      <c r="AX184" s="812" t="str">
        <f t="shared" si="72"/>
        <v>no</v>
      </c>
      <c r="AY184" s="812" t="str">
        <f t="shared" si="73"/>
        <v>no</v>
      </c>
      <c r="AZ184" s="813">
        <v>6</v>
      </c>
    </row>
    <row r="185" spans="31:52" x14ac:dyDescent="0.25">
      <c r="AE185" s="813">
        <v>5</v>
      </c>
      <c r="AF185" s="812" t="str">
        <f t="shared" si="62"/>
        <v/>
      </c>
      <c r="AG185" s="812" t="str">
        <f t="shared" si="74"/>
        <v>no</v>
      </c>
      <c r="AH185" s="812" t="str">
        <f t="shared" si="75"/>
        <v>no</v>
      </c>
      <c r="AI185" s="812" t="str">
        <f t="shared" si="76"/>
        <v>no</v>
      </c>
      <c r="AJ185" s="812" t="str">
        <f t="shared" si="77"/>
        <v>no</v>
      </c>
      <c r="AK185" s="812" t="str">
        <f t="shared" si="78"/>
        <v>no</v>
      </c>
      <c r="AL185" s="812" t="str">
        <f t="shared" si="79"/>
        <v>no</v>
      </c>
      <c r="AM185" s="812" t="str">
        <f t="shared" si="80"/>
        <v>no</v>
      </c>
      <c r="AN185" s="812" t="str">
        <f t="shared" si="81"/>
        <v>no</v>
      </c>
      <c r="AO185" s="812" t="str">
        <f t="shared" si="63"/>
        <v>no</v>
      </c>
      <c r="AP185" s="812" t="str">
        <f t="shared" si="64"/>
        <v>no</v>
      </c>
      <c r="AQ185" s="812" t="str">
        <f t="shared" si="65"/>
        <v>no</v>
      </c>
      <c r="AR185" s="812" t="str">
        <f t="shared" si="66"/>
        <v>no</v>
      </c>
      <c r="AS185" s="812" t="str">
        <f t="shared" si="67"/>
        <v>no</v>
      </c>
      <c r="AT185" s="812" t="str">
        <f t="shared" si="68"/>
        <v>no</v>
      </c>
      <c r="AU185" s="812" t="str">
        <f t="shared" si="69"/>
        <v>no</v>
      </c>
      <c r="AV185" s="812" t="str">
        <f t="shared" si="70"/>
        <v>no</v>
      </c>
      <c r="AW185" s="812" t="str">
        <f t="shared" si="71"/>
        <v>no</v>
      </c>
      <c r="AX185" s="812" t="str">
        <f t="shared" si="72"/>
        <v>no</v>
      </c>
      <c r="AY185" s="812" t="str">
        <f t="shared" si="73"/>
        <v>no</v>
      </c>
      <c r="AZ185" s="813">
        <v>5</v>
      </c>
    </row>
    <row r="186" spans="31:52" x14ac:dyDescent="0.25">
      <c r="AE186" s="813">
        <v>4</v>
      </c>
      <c r="AF186" s="812" t="str">
        <f t="shared" si="62"/>
        <v/>
      </c>
      <c r="AG186" s="812" t="str">
        <f t="shared" si="74"/>
        <v>no</v>
      </c>
      <c r="AH186" s="812" t="str">
        <f t="shared" si="75"/>
        <v>no</v>
      </c>
      <c r="AI186" s="812" t="str">
        <f t="shared" si="76"/>
        <v>no</v>
      </c>
      <c r="AJ186" s="812" t="str">
        <f t="shared" si="77"/>
        <v>no</v>
      </c>
      <c r="AK186" s="812" t="str">
        <f t="shared" si="78"/>
        <v>no</v>
      </c>
      <c r="AL186" s="812" t="str">
        <f t="shared" si="79"/>
        <v>no</v>
      </c>
      <c r="AM186" s="812" t="str">
        <f t="shared" si="80"/>
        <v>no</v>
      </c>
      <c r="AN186" s="812" t="str">
        <f t="shared" si="81"/>
        <v>no</v>
      </c>
      <c r="AO186" s="812" t="str">
        <f t="shared" si="63"/>
        <v>no</v>
      </c>
      <c r="AP186" s="812" t="str">
        <f t="shared" si="64"/>
        <v>no</v>
      </c>
      <c r="AQ186" s="812" t="str">
        <f t="shared" si="65"/>
        <v>no</v>
      </c>
      <c r="AR186" s="812" t="str">
        <f t="shared" si="66"/>
        <v>no</v>
      </c>
      <c r="AS186" s="812" t="str">
        <f t="shared" si="67"/>
        <v>no</v>
      </c>
      <c r="AT186" s="812" t="str">
        <f t="shared" si="68"/>
        <v>no</v>
      </c>
      <c r="AU186" s="812" t="str">
        <f t="shared" si="69"/>
        <v>no</v>
      </c>
      <c r="AV186" s="812" t="str">
        <f t="shared" si="70"/>
        <v>no</v>
      </c>
      <c r="AW186" s="812" t="str">
        <f t="shared" si="71"/>
        <v>no</v>
      </c>
      <c r="AX186" s="812" t="str">
        <f t="shared" si="72"/>
        <v>no</v>
      </c>
      <c r="AY186" s="812" t="str">
        <f t="shared" si="73"/>
        <v>no</v>
      </c>
      <c r="AZ186" s="813">
        <v>4</v>
      </c>
    </row>
    <row r="187" spans="31:52" x14ac:dyDescent="0.25">
      <c r="AE187" s="813">
        <v>3</v>
      </c>
      <c r="AF187" s="812" t="str">
        <f t="shared" si="62"/>
        <v/>
      </c>
      <c r="AG187" s="812" t="str">
        <f t="shared" si="74"/>
        <v>no</v>
      </c>
      <c r="AH187" s="812" t="str">
        <f t="shared" si="75"/>
        <v>no</v>
      </c>
      <c r="AI187" s="812" t="str">
        <f t="shared" si="76"/>
        <v>no</v>
      </c>
      <c r="AJ187" s="812" t="str">
        <f t="shared" si="77"/>
        <v>no</v>
      </c>
      <c r="AK187" s="812" t="str">
        <f t="shared" si="78"/>
        <v>no</v>
      </c>
      <c r="AL187" s="812" t="str">
        <f t="shared" si="79"/>
        <v>no</v>
      </c>
      <c r="AM187" s="812" t="str">
        <f t="shared" si="80"/>
        <v>no</v>
      </c>
      <c r="AN187" s="812" t="str">
        <f t="shared" si="81"/>
        <v>no</v>
      </c>
      <c r="AO187" s="812" t="str">
        <f t="shared" si="63"/>
        <v>no</v>
      </c>
      <c r="AP187" s="812" t="str">
        <f t="shared" si="64"/>
        <v>no</v>
      </c>
      <c r="AQ187" s="812" t="str">
        <f t="shared" si="65"/>
        <v>no</v>
      </c>
      <c r="AR187" s="812" t="str">
        <f t="shared" si="66"/>
        <v>no</v>
      </c>
      <c r="AS187" s="812" t="str">
        <f t="shared" si="67"/>
        <v>no</v>
      </c>
      <c r="AT187" s="812" t="str">
        <f t="shared" si="68"/>
        <v>no</v>
      </c>
      <c r="AU187" s="812" t="str">
        <f t="shared" si="69"/>
        <v>no</v>
      </c>
      <c r="AV187" s="812" t="str">
        <f t="shared" si="70"/>
        <v>no</v>
      </c>
      <c r="AW187" s="812" t="str">
        <f t="shared" si="71"/>
        <v>no</v>
      </c>
      <c r="AX187" s="812" t="str">
        <f t="shared" si="72"/>
        <v>no</v>
      </c>
      <c r="AY187" s="812" t="str">
        <f t="shared" si="73"/>
        <v>no</v>
      </c>
      <c r="AZ187" s="813">
        <v>3</v>
      </c>
    </row>
    <row r="188" spans="31:52" x14ac:dyDescent="0.25">
      <c r="AE188" s="813">
        <v>2</v>
      </c>
      <c r="AF188" s="812" t="str">
        <f t="shared" si="62"/>
        <v/>
      </c>
      <c r="AG188" s="812" t="str">
        <f t="shared" si="74"/>
        <v>no</v>
      </c>
      <c r="AH188" s="812" t="str">
        <f t="shared" si="75"/>
        <v>no</v>
      </c>
      <c r="AI188" s="812" t="str">
        <f t="shared" si="76"/>
        <v>no</v>
      </c>
      <c r="AJ188" s="812" t="str">
        <f t="shared" si="77"/>
        <v>no</v>
      </c>
      <c r="AK188" s="812" t="str">
        <f t="shared" si="78"/>
        <v>no</v>
      </c>
      <c r="AL188" s="812" t="str">
        <f t="shared" si="79"/>
        <v>no</v>
      </c>
      <c r="AM188" s="812" t="str">
        <f t="shared" si="80"/>
        <v>no</v>
      </c>
      <c r="AN188" s="812" t="str">
        <f t="shared" si="81"/>
        <v>no</v>
      </c>
      <c r="AO188" s="812" t="str">
        <f t="shared" si="63"/>
        <v>no</v>
      </c>
      <c r="AP188" s="812" t="str">
        <f t="shared" si="64"/>
        <v>no</v>
      </c>
      <c r="AQ188" s="812" t="str">
        <f t="shared" si="65"/>
        <v>no</v>
      </c>
      <c r="AR188" s="812" t="str">
        <f t="shared" si="66"/>
        <v>no</v>
      </c>
      <c r="AS188" s="812" t="str">
        <f t="shared" si="67"/>
        <v>no</v>
      </c>
      <c r="AT188" s="812" t="str">
        <f t="shared" si="68"/>
        <v>no</v>
      </c>
      <c r="AU188" s="812" t="str">
        <f t="shared" si="69"/>
        <v>no</v>
      </c>
      <c r="AV188" s="812" t="str">
        <f t="shared" si="70"/>
        <v>no</v>
      </c>
      <c r="AW188" s="812" t="str">
        <f t="shared" si="71"/>
        <v>no</v>
      </c>
      <c r="AX188" s="812" t="str">
        <f t="shared" si="72"/>
        <v>no</v>
      </c>
      <c r="AY188" s="812" t="str">
        <f t="shared" si="73"/>
        <v>no</v>
      </c>
      <c r="AZ188" s="813">
        <v>2</v>
      </c>
    </row>
    <row r="189" spans="31:52" x14ac:dyDescent="0.25">
      <c r="AE189" s="813">
        <v>1</v>
      </c>
      <c r="AF189" s="812" t="str">
        <f t="shared" si="62"/>
        <v/>
      </c>
      <c r="AG189" s="812" t="str">
        <f t="shared" si="74"/>
        <v>no</v>
      </c>
      <c r="AH189" s="812" t="str">
        <f t="shared" si="75"/>
        <v>no</v>
      </c>
      <c r="AI189" s="812" t="str">
        <f t="shared" si="76"/>
        <v>no</v>
      </c>
      <c r="AJ189" s="812" t="str">
        <f t="shared" si="77"/>
        <v>no</v>
      </c>
      <c r="AK189" s="812" t="str">
        <f t="shared" si="78"/>
        <v>no</v>
      </c>
      <c r="AL189" s="812" t="str">
        <f t="shared" si="79"/>
        <v>no</v>
      </c>
      <c r="AM189" s="812" t="str">
        <f t="shared" si="80"/>
        <v>no</v>
      </c>
      <c r="AN189" s="812" t="str">
        <f t="shared" si="81"/>
        <v>no</v>
      </c>
      <c r="AO189" s="812" t="str">
        <f t="shared" si="63"/>
        <v>no</v>
      </c>
      <c r="AP189" s="812" t="str">
        <f t="shared" si="64"/>
        <v>no</v>
      </c>
      <c r="AQ189" s="812" t="str">
        <f t="shared" si="65"/>
        <v>no</v>
      </c>
      <c r="AR189" s="812" t="str">
        <f t="shared" si="66"/>
        <v>no</v>
      </c>
      <c r="AS189" s="812" t="str">
        <f t="shared" si="67"/>
        <v>no</v>
      </c>
      <c r="AT189" s="812" t="str">
        <f t="shared" si="68"/>
        <v>no</v>
      </c>
      <c r="AU189" s="812" t="str">
        <f t="shared" si="69"/>
        <v>no</v>
      </c>
      <c r="AV189" s="812" t="str">
        <f t="shared" si="70"/>
        <v>no</v>
      </c>
      <c r="AW189" s="812" t="str">
        <f t="shared" si="71"/>
        <v>no</v>
      </c>
      <c r="AX189" s="812" t="str">
        <f t="shared" si="72"/>
        <v>no</v>
      </c>
      <c r="AY189" s="812" t="str">
        <f t="shared" si="73"/>
        <v>no</v>
      </c>
      <c r="AZ189" s="813">
        <v>1</v>
      </c>
    </row>
  </sheetData>
  <mergeCells count="15">
    <mergeCell ref="B1:G1"/>
    <mergeCell ref="A14:G14"/>
    <mergeCell ref="B15:F15"/>
    <mergeCell ref="B16:F16"/>
    <mergeCell ref="A18:D18"/>
    <mergeCell ref="B11:F11"/>
    <mergeCell ref="B12:F12"/>
    <mergeCell ref="B2:G2"/>
    <mergeCell ref="B4:F4"/>
    <mergeCell ref="B10:F10"/>
    <mergeCell ref="B3:F3"/>
    <mergeCell ref="B5:F5"/>
    <mergeCell ref="B6:F6"/>
    <mergeCell ref="B8:G8"/>
    <mergeCell ref="B9:F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26">
    <tabColor rgb="FFFFFF00"/>
  </sheetPr>
  <dimension ref="B1:X31"/>
  <sheetViews>
    <sheetView zoomScale="120" zoomScaleNormal="120" workbookViewId="0">
      <pane xSplit="4" topLeftCell="E1" activePane="topRight" state="frozen"/>
      <selection activeCell="G15" sqref="G15"/>
      <selection pane="topRight" activeCell="G15" sqref="G15"/>
    </sheetView>
  </sheetViews>
  <sheetFormatPr defaultRowHeight="15" x14ac:dyDescent="0.25"/>
  <cols>
    <col min="1" max="1" width="3.28515625" customWidth="1"/>
    <col min="2" max="2" width="14.140625" customWidth="1"/>
    <col min="3" max="3" width="0.85546875" customWidth="1"/>
    <col min="4" max="4" width="38.42578125" customWidth="1"/>
    <col min="5" max="5" width="10.7109375" customWidth="1"/>
    <col min="6" max="6" width="10.28515625" customWidth="1"/>
    <col min="7" max="7" width="10.42578125" bestFit="1" customWidth="1"/>
    <col min="8" max="13" width="9.42578125" bestFit="1" customWidth="1"/>
    <col min="14" max="24" width="10.140625" bestFit="1" customWidth="1"/>
  </cols>
  <sheetData>
    <row r="1" spans="2:24" ht="15.75" thickBot="1" x14ac:dyDescent="0.3"/>
    <row r="2" spans="2:24" s="372" customFormat="1" ht="16.5" customHeight="1" thickBot="1" x14ac:dyDescent="0.3">
      <c r="E2" s="263" t="s">
        <v>308</v>
      </c>
      <c r="F2" s="263" t="s">
        <v>309</v>
      </c>
      <c r="G2" s="263" t="s">
        <v>310</v>
      </c>
      <c r="H2" s="263" t="s">
        <v>311</v>
      </c>
      <c r="I2" s="263" t="s">
        <v>312</v>
      </c>
      <c r="J2" s="263" t="s">
        <v>313</v>
      </c>
      <c r="K2" s="263" t="s">
        <v>314</v>
      </c>
      <c r="L2" s="263" t="s">
        <v>315</v>
      </c>
      <c r="M2" s="263" t="s">
        <v>316</v>
      </c>
      <c r="N2" s="263" t="s">
        <v>317</v>
      </c>
      <c r="O2" s="263" t="s">
        <v>318</v>
      </c>
      <c r="P2" s="263" t="s">
        <v>319</v>
      </c>
      <c r="Q2" s="263" t="s">
        <v>320</v>
      </c>
      <c r="R2" s="263" t="s">
        <v>321</v>
      </c>
      <c r="S2" s="263" t="s">
        <v>322</v>
      </c>
      <c r="T2" s="263" t="s">
        <v>323</v>
      </c>
      <c r="U2" s="263" t="s">
        <v>324</v>
      </c>
      <c r="V2" s="263" t="s">
        <v>325</v>
      </c>
      <c r="W2" s="263" t="s">
        <v>326</v>
      </c>
      <c r="X2" s="263" t="s">
        <v>327</v>
      </c>
    </row>
    <row r="3" spans="2:24" s="99" customFormat="1" ht="24" customHeight="1" thickBot="1" x14ac:dyDescent="0.25">
      <c r="B3" s="124" t="s">
        <v>1218</v>
      </c>
      <c r="D3" s="124" t="s">
        <v>1170</v>
      </c>
      <c r="E3" s="373" t="str">
        <f>IF('Elenco immobili'!$C$4="","",'Elenco immobili'!$C$4)</f>
        <v>Sede ICE-AGID</v>
      </c>
      <c r="F3" s="373" t="str">
        <f>IF('Elenco immobili'!$C$5="","",'Elenco immobili'!$C$5)</f>
        <v/>
      </c>
      <c r="G3" s="373" t="str">
        <f>IF('Elenco immobili'!$C$6="","",'Elenco immobili'!$C$6)</f>
        <v/>
      </c>
      <c r="H3" s="373" t="str">
        <f>IF('Elenco immobili'!$C$7="","",'Elenco immobili'!$C$7)</f>
        <v/>
      </c>
      <c r="I3" s="373" t="str">
        <f>IF('Elenco immobili'!$C$8="","",'Elenco immobili'!$C$8)</f>
        <v/>
      </c>
      <c r="J3" s="373" t="str">
        <f>IF('Elenco immobili'!$C$9="","",'Elenco immobili'!$C$9)</f>
        <v/>
      </c>
      <c r="K3" s="373" t="str">
        <f>IF('Elenco immobili'!$C$10="","",'Elenco immobili'!$C$10)</f>
        <v/>
      </c>
      <c r="L3" s="373" t="str">
        <f>IF('Elenco immobili'!$C$11="","",'Elenco immobili'!$C$11)</f>
        <v/>
      </c>
      <c r="M3" s="373" t="str">
        <f>IF('Elenco immobili'!$C$12="","",'Elenco immobili'!$C$12)</f>
        <v/>
      </c>
      <c r="N3" s="373" t="str">
        <f>IF('Elenco immobili'!$C$13="","",'Elenco immobili'!$C$13)</f>
        <v/>
      </c>
      <c r="O3" s="373" t="str">
        <f>IF('Elenco immobili'!$C$14="","",'Elenco immobili'!$C$14)</f>
        <v/>
      </c>
      <c r="P3" s="373" t="str">
        <f>IF('Elenco immobili'!$C$15="","",'Elenco immobili'!$C$15)</f>
        <v/>
      </c>
      <c r="Q3" s="373" t="str">
        <f>IF('Elenco immobili'!$C$16="","",'Elenco immobili'!$C$16)</f>
        <v/>
      </c>
      <c r="R3" s="373" t="str">
        <f>IF('Elenco immobili'!$C$17="","",'Elenco immobili'!$C$17)</f>
        <v/>
      </c>
      <c r="S3" s="373" t="str">
        <f>IF('Elenco immobili'!$C$18="","",'Elenco immobili'!$C$18)</f>
        <v/>
      </c>
      <c r="T3" s="373" t="str">
        <f>IF('Elenco immobili'!$C$19="","",'Elenco immobili'!$C$19)</f>
        <v/>
      </c>
      <c r="U3" s="373" t="str">
        <f>IF('Elenco immobili'!$C$20="","",'Elenco immobili'!$C$20)</f>
        <v/>
      </c>
      <c r="V3" s="373" t="str">
        <f>IF('Elenco immobili'!$C$21="","",'Elenco immobili'!$C$21)</f>
        <v/>
      </c>
      <c r="W3" s="373" t="str">
        <f>IF('Elenco immobili'!$C$22="","",'Elenco immobili'!$C$22)</f>
        <v/>
      </c>
      <c r="X3" s="373" t="str">
        <f>IF('Elenco immobili'!$C$23="","",'Elenco immobili'!$C$23)</f>
        <v/>
      </c>
    </row>
    <row r="4" spans="2:24" s="99" customFormat="1" ht="5.0999999999999996" customHeight="1" thickBot="1" x14ac:dyDescent="0.25">
      <c r="B4" s="115"/>
      <c r="D4" s="103"/>
      <c r="E4" s="104"/>
      <c r="F4" s="104"/>
      <c r="G4" s="104"/>
      <c r="H4" s="104"/>
      <c r="I4" s="104"/>
      <c r="J4" s="104"/>
      <c r="K4" s="104"/>
      <c r="L4" s="104"/>
      <c r="M4" s="104"/>
      <c r="N4" s="104"/>
      <c r="O4" s="104"/>
      <c r="P4" s="104"/>
      <c r="Q4" s="104"/>
      <c r="R4" s="104"/>
      <c r="S4" s="104"/>
      <c r="T4" s="104"/>
      <c r="U4" s="104"/>
      <c r="V4" s="104"/>
      <c r="W4" s="104"/>
      <c r="X4" s="104"/>
    </row>
    <row r="5" spans="2:24" s="99" customFormat="1" ht="12.75" thickBot="1" x14ac:dyDescent="0.25">
      <c r="B5" s="370" t="s">
        <v>1157</v>
      </c>
      <c r="D5" s="371" t="s">
        <v>1216</v>
      </c>
      <c r="E5" s="370" t="s">
        <v>1217</v>
      </c>
      <c r="F5" s="370" t="s">
        <v>1217</v>
      </c>
      <c r="G5" s="370" t="s">
        <v>1217</v>
      </c>
      <c r="H5" s="370" t="s">
        <v>1217</v>
      </c>
      <c r="I5" s="370" t="s">
        <v>1217</v>
      </c>
      <c r="J5" s="370" t="s">
        <v>1217</v>
      </c>
      <c r="K5" s="370" t="s">
        <v>1217</v>
      </c>
      <c r="L5" s="370" t="s">
        <v>1217</v>
      </c>
      <c r="M5" s="370" t="s">
        <v>1217</v>
      </c>
      <c r="N5" s="370" t="s">
        <v>1217</v>
      </c>
      <c r="O5" s="370" t="s">
        <v>1217</v>
      </c>
      <c r="P5" s="370" t="s">
        <v>1217</v>
      </c>
      <c r="Q5" s="370" t="s">
        <v>1217</v>
      </c>
      <c r="R5" s="370" t="s">
        <v>1217</v>
      </c>
      <c r="S5" s="370" t="s">
        <v>1217</v>
      </c>
      <c r="T5" s="370" t="s">
        <v>1217</v>
      </c>
      <c r="U5" s="370" t="s">
        <v>1217</v>
      </c>
      <c r="V5" s="370" t="s">
        <v>1217</v>
      </c>
      <c r="W5" s="370" t="s">
        <v>1217</v>
      </c>
      <c r="X5" s="370" t="s">
        <v>1217</v>
      </c>
    </row>
    <row r="6" spans="2:24" x14ac:dyDescent="0.25">
      <c r="B6" s="365">
        <f>SUM(B7:B13)</f>
        <v>2369263.2599999998</v>
      </c>
      <c r="D6" s="357" t="s">
        <v>123</v>
      </c>
      <c r="E6" s="366">
        <f t="shared" ref="E6:X6" si="0">SUM(E7:E13)</f>
        <v>2369263.2599999998</v>
      </c>
      <c r="F6" s="366">
        <f t="shared" si="0"/>
        <v>0</v>
      </c>
      <c r="G6" s="366">
        <f t="shared" si="0"/>
        <v>0</v>
      </c>
      <c r="H6" s="366">
        <f t="shared" si="0"/>
        <v>0</v>
      </c>
      <c r="I6" s="366">
        <f t="shared" si="0"/>
        <v>0</v>
      </c>
      <c r="J6" s="366">
        <f t="shared" si="0"/>
        <v>0</v>
      </c>
      <c r="K6" s="366">
        <f t="shared" si="0"/>
        <v>0</v>
      </c>
      <c r="L6" s="366">
        <f t="shared" si="0"/>
        <v>0</v>
      </c>
      <c r="M6" s="366">
        <f t="shared" si="0"/>
        <v>0</v>
      </c>
      <c r="N6" s="366">
        <f t="shared" si="0"/>
        <v>0</v>
      </c>
      <c r="O6" s="366">
        <f t="shared" si="0"/>
        <v>0</v>
      </c>
      <c r="P6" s="366">
        <f t="shared" si="0"/>
        <v>0</v>
      </c>
      <c r="Q6" s="366">
        <f t="shared" si="0"/>
        <v>0</v>
      </c>
      <c r="R6" s="366">
        <f t="shared" si="0"/>
        <v>0</v>
      </c>
      <c r="S6" s="366">
        <f t="shared" si="0"/>
        <v>0</v>
      </c>
      <c r="T6" s="366">
        <f t="shared" si="0"/>
        <v>0</v>
      </c>
      <c r="U6" s="366">
        <f t="shared" si="0"/>
        <v>0</v>
      </c>
      <c r="V6" s="366">
        <f t="shared" si="0"/>
        <v>0</v>
      </c>
      <c r="W6" s="366">
        <f t="shared" si="0"/>
        <v>0</v>
      </c>
      <c r="X6" s="366">
        <f t="shared" si="0"/>
        <v>0</v>
      </c>
    </row>
    <row r="7" spans="2:24" x14ac:dyDescent="0.25">
      <c r="B7" s="344">
        <f>SUM(E7:X7)</f>
        <v>382526.89600000001</v>
      </c>
      <c r="D7" s="348" t="s">
        <v>2</v>
      </c>
      <c r="E7" s="349">
        <f>HLOOKUP(E$2,ELT!G$2:G$23,22,FALSE)</f>
        <v>382526.89600000001</v>
      </c>
      <c r="F7" s="349">
        <f>HLOOKUP(F$2,ELT!H$2:H$23,22,FALSE)</f>
        <v>0</v>
      </c>
      <c r="G7" s="349">
        <f>HLOOKUP(G$2,ELT!I$2:I$23,22,FALSE)</f>
        <v>0</v>
      </c>
      <c r="H7" s="349">
        <f>HLOOKUP(H$2,ELT!J$2:J$23,22,FALSE)</f>
        <v>0</v>
      </c>
      <c r="I7" s="349">
        <f>HLOOKUP(I$2,ELT!K$2:K$23,22,FALSE)</f>
        <v>0</v>
      </c>
      <c r="J7" s="349">
        <f>HLOOKUP(J$2,ELT!L$2:L$23,22,FALSE)</f>
        <v>0</v>
      </c>
      <c r="K7" s="349">
        <f>HLOOKUP(K$2,ELT!M$2:M$23,22,FALSE)</f>
        <v>0</v>
      </c>
      <c r="L7" s="349">
        <f>HLOOKUP(L$2,ELT!N$2:N$23,22,FALSE)</f>
        <v>0</v>
      </c>
      <c r="M7" s="349">
        <f>HLOOKUP(M$2,ELT!O$2:O$23,22,FALSE)</f>
        <v>0</v>
      </c>
      <c r="N7" s="349">
        <f>HLOOKUP(N$2,ELT!P$2:P$23,22,FALSE)</f>
        <v>0</v>
      </c>
      <c r="O7" s="349">
        <f>HLOOKUP(O$2,ELT!Q$2:Q$23,22,FALSE)</f>
        <v>0</v>
      </c>
      <c r="P7" s="349">
        <f>HLOOKUP(P$2,ELT!R$2:R$23,22,FALSE)</f>
        <v>0</v>
      </c>
      <c r="Q7" s="349">
        <f>HLOOKUP(Q$2,ELT!S$2:S$23,22,FALSE)</f>
        <v>0</v>
      </c>
      <c r="R7" s="349">
        <f>HLOOKUP(R$2,ELT!T$2:T$23,22,FALSE)</f>
        <v>0</v>
      </c>
      <c r="S7" s="349">
        <f>HLOOKUP(S$2,ELT!U$2:U$23,22,FALSE)</f>
        <v>0</v>
      </c>
      <c r="T7" s="349">
        <f>HLOOKUP(T$2,ELT!V$2:V$23,22,FALSE)</f>
        <v>0</v>
      </c>
      <c r="U7" s="349">
        <f>HLOOKUP(U$2,ELT!W$2:W$23,22,FALSE)</f>
        <v>0</v>
      </c>
      <c r="V7" s="349">
        <f>HLOOKUP(V$2,ELT!X$2:X$23,22,FALSE)</f>
        <v>0</v>
      </c>
      <c r="W7" s="349">
        <f>HLOOKUP(W$2,ELT!Y$2:Y$23,22,FALSE)</f>
        <v>0</v>
      </c>
      <c r="X7" s="349">
        <f>HLOOKUP(X$2,ELT!Z$2:Z$23,22,FALSE)</f>
        <v>0</v>
      </c>
    </row>
    <row r="8" spans="2:24" x14ac:dyDescent="0.25">
      <c r="B8" s="347">
        <f t="shared" ref="B8:B13" si="1">SUM(E8:X8)</f>
        <v>106618.07199999999</v>
      </c>
      <c r="D8" s="354" t="s">
        <v>122</v>
      </c>
      <c r="E8" s="355">
        <f>HLOOKUP(E$2,SPE!G$2:G$19,18,FALSE)</f>
        <v>106618.07199999999</v>
      </c>
      <c r="F8" s="355">
        <f>HLOOKUP(F$2,SPE!H$2:H$19,18,FALSE)</f>
        <v>0</v>
      </c>
      <c r="G8" s="355">
        <f>HLOOKUP(G$2,SPE!I$2:I$19,18,FALSE)</f>
        <v>0</v>
      </c>
      <c r="H8" s="355">
        <f>HLOOKUP(H$2,SPE!J$2:J$19,18,FALSE)</f>
        <v>0</v>
      </c>
      <c r="I8" s="355">
        <f>HLOOKUP(I$2,SPE!K$2:K$19,18,FALSE)</f>
        <v>0</v>
      </c>
      <c r="J8" s="355">
        <f>HLOOKUP(J$2,SPE!L$2:L$19,18,FALSE)</f>
        <v>0</v>
      </c>
      <c r="K8" s="355">
        <f>HLOOKUP(K$2,SPE!M$2:M$19,18,FALSE)</f>
        <v>0</v>
      </c>
      <c r="L8" s="355">
        <f>HLOOKUP(L$2,SPE!N$2:N$19,18,FALSE)</f>
        <v>0</v>
      </c>
      <c r="M8" s="355">
        <f>HLOOKUP(M$2,SPE!O$2:O$19,18,FALSE)</f>
        <v>0</v>
      </c>
      <c r="N8" s="355">
        <f>HLOOKUP(N$2,SPE!P$2:P$19,18,FALSE)</f>
        <v>0</v>
      </c>
      <c r="O8" s="355">
        <f>HLOOKUP(O$2,SPE!Q$2:Q$19,18,FALSE)</f>
        <v>0</v>
      </c>
      <c r="P8" s="355">
        <f>HLOOKUP(P$2,SPE!R$2:R$19,18,FALSE)</f>
        <v>0</v>
      </c>
      <c r="Q8" s="355">
        <f>HLOOKUP(Q$2,SPE!S$2:S$19,18,FALSE)</f>
        <v>0</v>
      </c>
      <c r="R8" s="355">
        <f>HLOOKUP(R$2,SPE!T$2:T$19,18,FALSE)</f>
        <v>0</v>
      </c>
      <c r="S8" s="355">
        <f>HLOOKUP(S$2,SPE!U$2:U$19,18,FALSE)</f>
        <v>0</v>
      </c>
      <c r="T8" s="355">
        <f>HLOOKUP(T$2,SPE!V$2:V$19,18,FALSE)</f>
        <v>0</v>
      </c>
      <c r="U8" s="355">
        <f>HLOOKUP(U$2,SPE!W$2:W$19,18,FALSE)</f>
        <v>0</v>
      </c>
      <c r="V8" s="355">
        <f>HLOOKUP(V$2,SPE!X$2:X$19,18,FALSE)</f>
        <v>0</v>
      </c>
      <c r="W8" s="355">
        <f>HLOOKUP(W$2,SPE!Y$2:Y$19,18,FALSE)</f>
        <v>0</v>
      </c>
      <c r="X8" s="355">
        <f>HLOOKUP(X$2,SPE!Z$2:Z$19,18,FALSE)</f>
        <v>0</v>
      </c>
    </row>
    <row r="9" spans="2:24" x14ac:dyDescent="0.25">
      <c r="B9" s="345">
        <f t="shared" si="1"/>
        <v>729199.2919999999</v>
      </c>
      <c r="D9" s="350" t="s">
        <v>474</v>
      </c>
      <c r="E9" s="351">
        <f>HLOOKUP(E$2,CLI!G$2:G$35,34,FALSE)</f>
        <v>729199.2919999999</v>
      </c>
      <c r="F9" s="351">
        <f>HLOOKUP(F$2,CLI!H$2:H$35,34,FALSE)</f>
        <v>0</v>
      </c>
      <c r="G9" s="351">
        <f>HLOOKUP(G$2,CLI!I$2:I$35,34,FALSE)</f>
        <v>0</v>
      </c>
      <c r="H9" s="351">
        <f>HLOOKUP(H$2,CLI!J$2:J$35,34,FALSE)</f>
        <v>0</v>
      </c>
      <c r="I9" s="351">
        <f>HLOOKUP(I$2,CLI!K$2:K$35,34,FALSE)</f>
        <v>0</v>
      </c>
      <c r="J9" s="351">
        <f>HLOOKUP(J$2,CLI!L$2:L$35,34,FALSE)</f>
        <v>0</v>
      </c>
      <c r="K9" s="351">
        <f>HLOOKUP(K$2,CLI!M$2:M$35,34,FALSE)</f>
        <v>0</v>
      </c>
      <c r="L9" s="351">
        <f>HLOOKUP(L$2,CLI!N$2:N$35,34,FALSE)</f>
        <v>0</v>
      </c>
      <c r="M9" s="351">
        <f>HLOOKUP(M$2,CLI!O$2:O$35,34,FALSE)</f>
        <v>0</v>
      </c>
      <c r="N9" s="351">
        <f>HLOOKUP(N$2,CLI!P$2:P$35,34,FALSE)</f>
        <v>0</v>
      </c>
      <c r="O9" s="351">
        <f>HLOOKUP(O$2,CLI!Q$2:Q$35,34,FALSE)</f>
        <v>0</v>
      </c>
      <c r="P9" s="351">
        <f>HLOOKUP(P$2,CLI!R$2:R$35,34,FALSE)</f>
        <v>0</v>
      </c>
      <c r="Q9" s="351">
        <f>HLOOKUP(Q$2,CLI!S$2:S$35,34,FALSE)</f>
        <v>0</v>
      </c>
      <c r="R9" s="351">
        <f>HLOOKUP(R$2,CLI!T$2:T$35,34,FALSE)</f>
        <v>0</v>
      </c>
      <c r="S9" s="351">
        <f>HLOOKUP(S$2,CLI!U$2:U$35,34,FALSE)</f>
        <v>0</v>
      </c>
      <c r="T9" s="351">
        <f>HLOOKUP(T$2,CLI!V$2:V$35,34,FALSE)</f>
        <v>0</v>
      </c>
      <c r="U9" s="351">
        <f>HLOOKUP(U$2,CLI!W$2:W$35,34,FALSE)</f>
        <v>0</v>
      </c>
      <c r="V9" s="351">
        <f>HLOOKUP(V$2,CLI!X$2:X$35,34,FALSE)</f>
        <v>0</v>
      </c>
      <c r="W9" s="351">
        <f>HLOOKUP(W$2,CLI!Y$2:Y$35,34,FALSE)</f>
        <v>0</v>
      </c>
      <c r="X9" s="351">
        <f>HLOOKUP(X$2,CLI!Z$2:Z$35,34,FALSE)</f>
        <v>0</v>
      </c>
    </row>
    <row r="10" spans="2:24" x14ac:dyDescent="0.25">
      <c r="B10" s="347">
        <f t="shared" si="1"/>
        <v>92181.560000000012</v>
      </c>
      <c r="D10" s="354" t="s">
        <v>4</v>
      </c>
      <c r="E10" s="355">
        <f>HLOOKUP(E$2,IDR!G$2:G$15,14,FALSE)</f>
        <v>92181.560000000012</v>
      </c>
      <c r="F10" s="355">
        <f>HLOOKUP(F$2,IDR!H$2:H$15,14,FALSE)</f>
        <v>0</v>
      </c>
      <c r="G10" s="355">
        <f>HLOOKUP(G$2,IDR!I$2:I$15,14,FALSE)</f>
        <v>0</v>
      </c>
      <c r="H10" s="355">
        <f>HLOOKUP(H$2,IDR!J$2:J$15,14,FALSE)</f>
        <v>0</v>
      </c>
      <c r="I10" s="355">
        <f>HLOOKUP(I$2,IDR!K$2:K$15,14,FALSE)</f>
        <v>0</v>
      </c>
      <c r="J10" s="355">
        <f>HLOOKUP(J$2,IDR!L$2:L$15,14,FALSE)</f>
        <v>0</v>
      </c>
      <c r="K10" s="355">
        <f>HLOOKUP(K$2,IDR!M$2:M$15,14,FALSE)</f>
        <v>0</v>
      </c>
      <c r="L10" s="355">
        <f>HLOOKUP(L$2,IDR!N$2:N$15,14,FALSE)</f>
        <v>0</v>
      </c>
      <c r="M10" s="355">
        <f>HLOOKUP(M$2,IDR!O$2:O$15,14,FALSE)</f>
        <v>0</v>
      </c>
      <c r="N10" s="355">
        <f>HLOOKUP(N$2,IDR!P$2:P$15,14,FALSE)</f>
        <v>0</v>
      </c>
      <c r="O10" s="355">
        <f>HLOOKUP(O$2,IDR!Q$2:Q$15,14,FALSE)</f>
        <v>0</v>
      </c>
      <c r="P10" s="355">
        <f>HLOOKUP(P$2,IDR!R$2:R$15,14,FALSE)</f>
        <v>0</v>
      </c>
      <c r="Q10" s="355">
        <f>HLOOKUP(Q$2,IDR!S$2:S$15,14,FALSE)</f>
        <v>0</v>
      </c>
      <c r="R10" s="355">
        <f>HLOOKUP(R$2,IDR!T$2:T$15,14,FALSE)</f>
        <v>0</v>
      </c>
      <c r="S10" s="355">
        <f>HLOOKUP(S$2,IDR!U$2:U$15,14,FALSE)</f>
        <v>0</v>
      </c>
      <c r="T10" s="355">
        <f>HLOOKUP(T$2,IDR!V$2:V$15,14,FALSE)</f>
        <v>0</v>
      </c>
      <c r="U10" s="355">
        <f>HLOOKUP(U$2,IDR!W$2:W$15,14,FALSE)</f>
        <v>0</v>
      </c>
      <c r="V10" s="355">
        <f>HLOOKUP(V$2,IDR!X$2:X$15,14,FALSE)</f>
        <v>0</v>
      </c>
      <c r="W10" s="355">
        <f>HLOOKUP(W$2,IDR!Y$2:Y$15,14,FALSE)</f>
        <v>0</v>
      </c>
      <c r="X10" s="355">
        <f>HLOOKUP(X$2,IDR!Z$2:Z$15,14,FALSE)</f>
        <v>0</v>
      </c>
    </row>
    <row r="11" spans="2:24" x14ac:dyDescent="0.25">
      <c r="B11" s="345">
        <f t="shared" si="1"/>
        <v>0</v>
      </c>
      <c r="D11" s="350" t="s">
        <v>3</v>
      </c>
      <c r="E11" s="351">
        <f>HLOOKUP(E$2,ELV!G$2:G$19,18,FALSE)</f>
        <v>0</v>
      </c>
      <c r="F11" s="351">
        <f>HLOOKUP(F$2,ELV!H$2:H$19,18,FALSE)</f>
        <v>0</v>
      </c>
      <c r="G11" s="351">
        <f>HLOOKUP(G$2,ELV!I$2:I$19,18,FALSE)</f>
        <v>0</v>
      </c>
      <c r="H11" s="351">
        <f>HLOOKUP(H$2,ELV!J$2:J$19,18,FALSE)</f>
        <v>0</v>
      </c>
      <c r="I11" s="351">
        <f>HLOOKUP(I$2,ELV!K$2:K$19,18,FALSE)</f>
        <v>0</v>
      </c>
      <c r="J11" s="351">
        <f>HLOOKUP(J$2,ELV!L$2:L$19,18,FALSE)</f>
        <v>0</v>
      </c>
      <c r="K11" s="351">
        <f>HLOOKUP(K$2,ELV!M$2:M$19,18,FALSE)</f>
        <v>0</v>
      </c>
      <c r="L11" s="351">
        <f>HLOOKUP(L$2,ELV!N$2:N$19,18,FALSE)</f>
        <v>0</v>
      </c>
      <c r="M11" s="351">
        <f>HLOOKUP(M$2,ELV!O$2:O$19,18,FALSE)</f>
        <v>0</v>
      </c>
      <c r="N11" s="351">
        <f>HLOOKUP(N$2,ELV!P$2:P$19,18,FALSE)</f>
        <v>0</v>
      </c>
      <c r="O11" s="351">
        <f>HLOOKUP(O$2,ELV!Q$2:Q$19,18,FALSE)</f>
        <v>0</v>
      </c>
      <c r="P11" s="351">
        <f>HLOOKUP(P$2,ELV!R$2:R$19,18,FALSE)</f>
        <v>0</v>
      </c>
      <c r="Q11" s="351">
        <f>HLOOKUP(Q$2,ELV!S$2:S$19,18,FALSE)</f>
        <v>0</v>
      </c>
      <c r="R11" s="351">
        <f>HLOOKUP(R$2,ELV!T$2:T$19,18,FALSE)</f>
        <v>0</v>
      </c>
      <c r="S11" s="351">
        <f>HLOOKUP(S$2,ELV!U$2:U$19,18,FALSE)</f>
        <v>0</v>
      </c>
      <c r="T11" s="351">
        <f>HLOOKUP(T$2,ELV!V$2:V$19,18,FALSE)</f>
        <v>0</v>
      </c>
      <c r="U11" s="351">
        <f>HLOOKUP(U$2,ELV!W$2:W$19,18,FALSE)</f>
        <v>0</v>
      </c>
      <c r="V11" s="351">
        <f>HLOOKUP(V$2,ELV!X$2:X$19,18,FALSE)</f>
        <v>0</v>
      </c>
      <c r="W11" s="351">
        <f>HLOOKUP(W$2,ELV!Y$2:Y$19,18,FALSE)</f>
        <v>0</v>
      </c>
      <c r="X11" s="351">
        <f>HLOOKUP(X$2,ELV!Z$2:Z$19,18,FALSE)</f>
        <v>0</v>
      </c>
    </row>
    <row r="12" spans="2:24" x14ac:dyDescent="0.25">
      <c r="B12" s="347">
        <f t="shared" si="1"/>
        <v>0</v>
      </c>
      <c r="D12" s="354" t="s">
        <v>124</v>
      </c>
      <c r="E12" s="355">
        <f>HLOOKUP(E$2,ANT!G$2:G$65,64,FALSE)</f>
        <v>0</v>
      </c>
      <c r="F12" s="355">
        <f>HLOOKUP(F$2,ANT!H$2:H$65,64,FALSE)</f>
        <v>0</v>
      </c>
      <c r="G12" s="355">
        <f>HLOOKUP(G$2,ANT!I$2:I$65,64,FALSE)</f>
        <v>0</v>
      </c>
      <c r="H12" s="355">
        <f>HLOOKUP(H$2,ANT!J$2:J$65,64,FALSE)</f>
        <v>0</v>
      </c>
      <c r="I12" s="355">
        <f>HLOOKUP(I$2,ANT!K$2:K$65,64,FALSE)</f>
        <v>0</v>
      </c>
      <c r="J12" s="355">
        <f>HLOOKUP(J$2,ANT!L$2:L$65,64,FALSE)</f>
        <v>0</v>
      </c>
      <c r="K12" s="355">
        <f>HLOOKUP(K$2,ANT!M$2:M$65,64,FALSE)</f>
        <v>0</v>
      </c>
      <c r="L12" s="355">
        <f>HLOOKUP(L$2,ANT!N$2:N$65,64,FALSE)</f>
        <v>0</v>
      </c>
      <c r="M12" s="355">
        <f>HLOOKUP(M$2,ANT!O$2:O$65,64,FALSE)</f>
        <v>0</v>
      </c>
      <c r="N12" s="355">
        <f>HLOOKUP(N$2,ANT!P$2:P$65,64,FALSE)</f>
        <v>0</v>
      </c>
      <c r="O12" s="355">
        <f>HLOOKUP(O$2,ANT!Q$2:Q$65,64,FALSE)</f>
        <v>0</v>
      </c>
      <c r="P12" s="355">
        <f>HLOOKUP(P$2,ANT!R$2:R$65,64,FALSE)</f>
        <v>0</v>
      </c>
      <c r="Q12" s="355">
        <f>HLOOKUP(Q$2,ANT!S$2:S$65,64,FALSE)</f>
        <v>0</v>
      </c>
      <c r="R12" s="355">
        <f>HLOOKUP(R$2,ANT!T$2:T$65,64,FALSE)</f>
        <v>0</v>
      </c>
      <c r="S12" s="355">
        <f>HLOOKUP(S$2,ANT!U$2:U$65,64,FALSE)</f>
        <v>0</v>
      </c>
      <c r="T12" s="355">
        <f>HLOOKUP(T$2,ANT!V$2:V$65,64,FALSE)</f>
        <v>0</v>
      </c>
      <c r="U12" s="355">
        <f>HLOOKUP(U$2,ANT!W$2:W$65,64,FALSE)</f>
        <v>0</v>
      </c>
      <c r="V12" s="355">
        <f>HLOOKUP(V$2,ANT!X$2:X$65,64,FALSE)</f>
        <v>0</v>
      </c>
      <c r="W12" s="355">
        <f>HLOOKUP(W$2,ANT!Y$2:Y$65,64,FALSE)</f>
        <v>0</v>
      </c>
      <c r="X12" s="355">
        <f>HLOOKUP(X$2,ANT!Z$2:Z$65,64,FALSE)</f>
        <v>0</v>
      </c>
    </row>
    <row r="13" spans="2:24" x14ac:dyDescent="0.25">
      <c r="B13" s="346">
        <f t="shared" si="1"/>
        <v>1058737.44</v>
      </c>
      <c r="D13" s="352" t="s">
        <v>140</v>
      </c>
      <c r="E13" s="353">
        <f>HLOOKUP(E$2,PTEC!E$2:E$55,54,FALSE)</f>
        <v>1058737.44</v>
      </c>
      <c r="F13" s="353">
        <f>HLOOKUP(F$2,PTEC!F$2:F$55,54,FALSE)</f>
        <v>0</v>
      </c>
      <c r="G13" s="353">
        <f>HLOOKUP(G$2,PTEC!G$2:G$55,54,FALSE)</f>
        <v>0</v>
      </c>
      <c r="H13" s="353">
        <f>HLOOKUP(H$2,PTEC!H$2:H$55,54,FALSE)</f>
        <v>0</v>
      </c>
      <c r="I13" s="353">
        <f>HLOOKUP(I$2,PTEC!I$2:I$55,54,FALSE)</f>
        <v>0</v>
      </c>
      <c r="J13" s="353">
        <f>HLOOKUP(J$2,PTEC!J$2:J$55,54,FALSE)</f>
        <v>0</v>
      </c>
      <c r="K13" s="353">
        <f>HLOOKUP(K$2,PTEC!K$2:K$55,54,FALSE)</f>
        <v>0</v>
      </c>
      <c r="L13" s="353">
        <f>HLOOKUP(L$2,PTEC!L$2:L$55,54,FALSE)</f>
        <v>0</v>
      </c>
      <c r="M13" s="353">
        <f>HLOOKUP(M$2,PTEC!M$2:M$55,54,FALSE)</f>
        <v>0</v>
      </c>
      <c r="N13" s="353">
        <f>HLOOKUP(N$2,PTEC!N$2:N$55,54,FALSE)</f>
        <v>0</v>
      </c>
      <c r="O13" s="353">
        <f>HLOOKUP(O$2,PTEC!O$2:O$55,54,FALSE)</f>
        <v>0</v>
      </c>
      <c r="P13" s="353">
        <f>HLOOKUP(P$2,PTEC!P$2:P$55,54,FALSE)</f>
        <v>0</v>
      </c>
      <c r="Q13" s="353">
        <f>HLOOKUP(Q$2,PTEC!Q$2:Q$55,54,FALSE)</f>
        <v>0</v>
      </c>
      <c r="R13" s="353">
        <f>HLOOKUP(R$2,PTEC!R$2:R$55,54,FALSE)</f>
        <v>0</v>
      </c>
      <c r="S13" s="353">
        <f>HLOOKUP(S$2,PTEC!S$2:S$55,54,FALSE)</f>
        <v>0</v>
      </c>
      <c r="T13" s="353">
        <f>HLOOKUP(T$2,PTEC!T$2:T$55,54,FALSE)</f>
        <v>0</v>
      </c>
      <c r="U13" s="353">
        <f>HLOOKUP(U$2,PTEC!U$2:U$55,54,FALSE)</f>
        <v>0</v>
      </c>
      <c r="V13" s="353">
        <f>HLOOKUP(V$2,PTEC!V$2:V$55,54,FALSE)</f>
        <v>0</v>
      </c>
      <c r="W13" s="353">
        <f>HLOOKUP(W$2,PTEC!W$2:W$55,54,FALSE)</f>
        <v>0</v>
      </c>
      <c r="X13" s="353">
        <f>HLOOKUP(X$2,PTEC!X$2:X$55,54,FALSE)</f>
        <v>0</v>
      </c>
    </row>
    <row r="14" spans="2:24" x14ac:dyDescent="0.25">
      <c r="B14" s="356">
        <f>SUM(B15:B19)</f>
        <v>2744107.2306666672</v>
      </c>
      <c r="D14" s="357" t="s">
        <v>125</v>
      </c>
      <c r="E14" s="358">
        <f>SUM(E15:E19)</f>
        <v>2744107.2306666672</v>
      </c>
      <c r="F14" s="358">
        <f t="shared" ref="F14:X14" si="2">SUM(F15:F19)</f>
        <v>0</v>
      </c>
      <c r="G14" s="358">
        <f t="shared" si="2"/>
        <v>0</v>
      </c>
      <c r="H14" s="358">
        <f t="shared" si="2"/>
        <v>0</v>
      </c>
      <c r="I14" s="358">
        <f t="shared" si="2"/>
        <v>0</v>
      </c>
      <c r="J14" s="358">
        <f t="shared" si="2"/>
        <v>0</v>
      </c>
      <c r="K14" s="358">
        <f t="shared" si="2"/>
        <v>0</v>
      </c>
      <c r="L14" s="358">
        <f t="shared" si="2"/>
        <v>0</v>
      </c>
      <c r="M14" s="358">
        <f t="shared" si="2"/>
        <v>0</v>
      </c>
      <c r="N14" s="358">
        <f t="shared" si="2"/>
        <v>0</v>
      </c>
      <c r="O14" s="358">
        <f t="shared" si="2"/>
        <v>0</v>
      </c>
      <c r="P14" s="358">
        <f t="shared" si="2"/>
        <v>0</v>
      </c>
      <c r="Q14" s="358">
        <f t="shared" si="2"/>
        <v>0</v>
      </c>
      <c r="R14" s="358">
        <f t="shared" si="2"/>
        <v>0</v>
      </c>
      <c r="S14" s="358">
        <f t="shared" si="2"/>
        <v>0</v>
      </c>
      <c r="T14" s="358">
        <f t="shared" si="2"/>
        <v>0</v>
      </c>
      <c r="U14" s="358">
        <f t="shared" si="2"/>
        <v>0</v>
      </c>
      <c r="V14" s="358">
        <f t="shared" si="2"/>
        <v>0</v>
      </c>
      <c r="W14" s="358">
        <f t="shared" si="2"/>
        <v>0</v>
      </c>
      <c r="X14" s="358">
        <f t="shared" si="2"/>
        <v>0</v>
      </c>
    </row>
    <row r="15" spans="2:24" x14ac:dyDescent="0.25">
      <c r="B15" s="344">
        <f t="shared" ref="B15:B19" si="3">SUM(E15:X15)</f>
        <v>2385497.6640000003</v>
      </c>
      <c r="D15" s="348" t="s">
        <v>5</v>
      </c>
      <c r="E15" s="349">
        <f>HLOOKUP(E$2,PUL_AB!I$2:I$96,95,FALSE)+HLOOKUP(E$2,PUL_ARP!F$2:G$67,66,FALSE)</f>
        <v>2385497.6640000003</v>
      </c>
      <c r="F15" s="349">
        <f>HLOOKUP(F$2,PUL_AB!J$2:J$96,95,FALSE)+HLOOKUP(F$2,PUL_ARP!H$2:I$67,66,FALSE)</f>
        <v>0</v>
      </c>
      <c r="G15" s="349">
        <f>HLOOKUP(G$2,PUL_AB!K$2:K$96,95,FALSE)+HLOOKUP(G$2,PUL_ARP!J$2:K$67,66,FALSE)</f>
        <v>0</v>
      </c>
      <c r="H15" s="349">
        <f>HLOOKUP(H$2,PUL_AB!L$2:L$96,95,FALSE)+HLOOKUP(H$2,PUL_ARP!L$2:M$67,66,FALSE)</f>
        <v>0</v>
      </c>
      <c r="I15" s="349">
        <f>HLOOKUP(I$2,PUL_AB!M$2:M$96,95,FALSE)+HLOOKUP(I$2,PUL_ARP!N$2:O$67,66,FALSE)</f>
        <v>0</v>
      </c>
      <c r="J15" s="349">
        <f>HLOOKUP(J$2,PUL_AB!N$2:N$96,95,FALSE)+HLOOKUP(J$2,PUL_ARP!P$2:Q$67,66,FALSE)</f>
        <v>0</v>
      </c>
      <c r="K15" s="349">
        <f>HLOOKUP(K$2,PUL_AB!O$2:O$96,95,FALSE)+HLOOKUP(K$2,PUL_ARP!R$2:S$67,66,FALSE)</f>
        <v>0</v>
      </c>
      <c r="L15" s="349">
        <f>HLOOKUP(L$2,PUL_AB!P$2:P$96,95,FALSE)+HLOOKUP(L$2,PUL_ARP!T$2:U$67,66,FALSE)</f>
        <v>0</v>
      </c>
      <c r="M15" s="349">
        <f>HLOOKUP(M$2,PUL_AB!Q$2:Q$96,95,FALSE)+HLOOKUP(M$2,PUL_ARP!V$2:W$67,66,FALSE)</f>
        <v>0</v>
      </c>
      <c r="N15" s="349">
        <f>HLOOKUP(N$2,PUL_AB!R$2:R$96,95,FALSE)+HLOOKUP(N$2,PUL_ARP!X$2:Y$67,66,FALSE)</f>
        <v>0</v>
      </c>
      <c r="O15" s="349">
        <f>HLOOKUP(O$2,PUL_AB!S$2:S$96,95,FALSE)+HLOOKUP(O$2,PUL_ARP!Z$2:AA$67,66,FALSE)</f>
        <v>0</v>
      </c>
      <c r="P15" s="349">
        <f>HLOOKUP(P$2,PUL_AB!T$2:T$96,95,FALSE)+HLOOKUP(P$2,PUL_ARP!AB$2:AC$67,66,FALSE)</f>
        <v>0</v>
      </c>
      <c r="Q15" s="349">
        <f>HLOOKUP(Q$2,PUL_AB!U$2:U$96,95,FALSE)+HLOOKUP(Q$2,PUL_ARP!AD$2:AE$67,66,FALSE)</f>
        <v>0</v>
      </c>
      <c r="R15" s="349">
        <f>HLOOKUP(R$2,PUL_AB!V$2:V$96,95,FALSE)+HLOOKUP(R$2,PUL_ARP!AF$2:AG$67,66,FALSE)</f>
        <v>0</v>
      </c>
      <c r="S15" s="349">
        <f>HLOOKUP(S$2,PUL_AB!W$2:W$96,95,FALSE)+HLOOKUP(S$2,PUL_ARP!AH$2:AI$67,66,FALSE)</f>
        <v>0</v>
      </c>
      <c r="T15" s="349">
        <f>HLOOKUP(T$2,PUL_AB!X$2:X$96,95,FALSE)+HLOOKUP(T$2,PUL_ARP!AJ$2:AK$67,66,FALSE)</f>
        <v>0</v>
      </c>
      <c r="U15" s="349">
        <f>HLOOKUP(U$2,PUL_AB!Y$2:Y$96,95,FALSE)+HLOOKUP(U$2,PUL_ARP!AL$2:AM$67,66,FALSE)</f>
        <v>0</v>
      </c>
      <c r="V15" s="349">
        <f>HLOOKUP(V$2,PUL_AB!Z$2:Z$96,95,FALSE)+HLOOKUP(V$2,PUL_ARP!AN$2:AO$67,66,FALSE)</f>
        <v>0</v>
      </c>
      <c r="W15" s="349">
        <f>HLOOKUP(W$2,PUL_AB!AA$2:AA$96,95,FALSE)+HLOOKUP(W$2,PUL_ARP!AP$2:AQ$67,66,FALSE)</f>
        <v>0</v>
      </c>
      <c r="X15" s="349">
        <f>HLOOKUP(X$2,PUL_AB!AB$2:AB$96,95,FALSE)+HLOOKUP(X$2,PUL_ARP!AR$2:AS$67,66,FALSE)</f>
        <v>0</v>
      </c>
    </row>
    <row r="16" spans="2:24" x14ac:dyDescent="0.25">
      <c r="B16" s="347">
        <f t="shared" si="3"/>
        <v>0</v>
      </c>
      <c r="D16" s="354" t="s">
        <v>129</v>
      </c>
      <c r="E16" s="355">
        <f>HLOOKUP(E$2,PPUL!E$2:E$19,18,FALSE)</f>
        <v>0</v>
      </c>
      <c r="F16" s="355">
        <f>HLOOKUP(F$2,PPUL!F$2:F$19,18,FALSE)</f>
        <v>0</v>
      </c>
      <c r="G16" s="355">
        <f>HLOOKUP(G$2,PPUL!G$2:G$19,18,FALSE)</f>
        <v>0</v>
      </c>
      <c r="H16" s="355">
        <f>HLOOKUP(H$2,PPUL!H$2:H$19,18,FALSE)</f>
        <v>0</v>
      </c>
      <c r="I16" s="355">
        <f>HLOOKUP(I$2,PPUL!I$2:I$19,18,FALSE)</f>
        <v>0</v>
      </c>
      <c r="J16" s="355">
        <f>HLOOKUP(J$2,PPUL!J$2:J$19,18,FALSE)</f>
        <v>0</v>
      </c>
      <c r="K16" s="355">
        <f>HLOOKUP(K$2,PPUL!K$2:K$19,18,FALSE)</f>
        <v>0</v>
      </c>
      <c r="L16" s="355">
        <f>HLOOKUP(L$2,PPUL!L$2:L$19,18,FALSE)</f>
        <v>0</v>
      </c>
      <c r="M16" s="355">
        <f>HLOOKUP(M$2,PPUL!M$2:M$19,18,FALSE)</f>
        <v>0</v>
      </c>
      <c r="N16" s="355">
        <f>HLOOKUP(N$2,PPUL!N$2:N$19,18,FALSE)</f>
        <v>0</v>
      </c>
      <c r="O16" s="355">
        <f>HLOOKUP(O$2,PPUL!O$2:O$19,18,FALSE)</f>
        <v>0</v>
      </c>
      <c r="P16" s="355">
        <f>HLOOKUP(P$2,PPUL!P$2:P$19,18,FALSE)</f>
        <v>0</v>
      </c>
      <c r="Q16" s="355">
        <f>HLOOKUP(Q$2,PPUL!Q$2:Q$19,18,FALSE)</f>
        <v>0</v>
      </c>
      <c r="R16" s="355">
        <f>HLOOKUP(R$2,PPUL!R$2:R$19,18,FALSE)</f>
        <v>0</v>
      </c>
      <c r="S16" s="355">
        <f>HLOOKUP(S$2,PPUL!S$2:S$19,18,FALSE)</f>
        <v>0</v>
      </c>
      <c r="T16" s="355">
        <f>HLOOKUP(T$2,PPUL!T$2:T$19,18,FALSE)</f>
        <v>0</v>
      </c>
      <c r="U16" s="355">
        <f>HLOOKUP(U$2,PPUL!U$2:U$19,18,FALSE)</f>
        <v>0</v>
      </c>
      <c r="V16" s="355">
        <f>HLOOKUP(V$2,PPUL!V$2:V$19,18,FALSE)</f>
        <v>0</v>
      </c>
      <c r="W16" s="355">
        <f>HLOOKUP(W$2,PPUL!W$2:W$19,18,FALSE)</f>
        <v>0</v>
      </c>
      <c r="X16" s="355">
        <f>HLOOKUP(X$2,PPUL!X$2:X$19,18,FALSE)</f>
        <v>0</v>
      </c>
    </row>
    <row r="17" spans="2:24" x14ac:dyDescent="0.25">
      <c r="B17" s="345">
        <f t="shared" si="3"/>
        <v>311904</v>
      </c>
      <c r="D17" s="350" t="s">
        <v>126</v>
      </c>
      <c r="E17" s="351">
        <f>HLOOKUP(E$2,DIS_AB!G$2:G$30,29,FALSE)+HLOOKUP(E$2,DIS_ARP!F$2:G$13,12,FALSE)</f>
        <v>311904</v>
      </c>
      <c r="F17" s="351">
        <f>HLOOKUP(F$2,DIS_AB!H$2:H$30,29,FALSE)+HLOOKUP(F$2,DIS_ARP!G$2:H$13,12,FALSE)</f>
        <v>0</v>
      </c>
      <c r="G17" s="351">
        <f>HLOOKUP(G$2,DIS_AB!I$2:I$30,29,FALSE)+HLOOKUP(G$2,DIS_ARP!J$2:K$13,12,FALSE)</f>
        <v>0</v>
      </c>
      <c r="H17" s="351">
        <f>HLOOKUP(H$2,DIS_AB!J$2:J$30,29,FALSE)+HLOOKUP(H$2,DIS_ARP!L$2:M$13,12,FALSE)</f>
        <v>0</v>
      </c>
      <c r="I17" s="351">
        <f>HLOOKUP(I$2,DIS_AB!K$2:K$30,29,FALSE)+HLOOKUP(I$2,DIS_ARP!N$2:O$13,12,FALSE)</f>
        <v>0</v>
      </c>
      <c r="J17" s="351">
        <f>HLOOKUP(J$2,DIS_AB!L$2:L$30,29,FALSE)+HLOOKUP(J$2,DIS_ARP!P$2:Q$13,12,FALSE)</f>
        <v>0</v>
      </c>
      <c r="K17" s="351">
        <f>HLOOKUP(K$2,DIS_AB!M$2:M$30,29,FALSE)+HLOOKUP(K$2,DIS_ARP!R$2:S$13,12,FALSE)</f>
        <v>0</v>
      </c>
      <c r="L17" s="351">
        <f>HLOOKUP(L$2,DIS_AB!N$2:N$30,29,FALSE)+HLOOKUP(L$2,DIS_ARP!T$2:U$13,12,FALSE)</f>
        <v>0</v>
      </c>
      <c r="M17" s="351">
        <f>HLOOKUP(M$2,DIS_AB!O$2:O$30,29,FALSE)+HLOOKUP(M$2,DIS_ARP!V$2:W$13,12,FALSE)</f>
        <v>0</v>
      </c>
      <c r="N17" s="351">
        <f>HLOOKUP(N$2,DIS_AB!P$2:P$30,29,FALSE)+HLOOKUP(N$2,DIS_ARP!X$2:Y$13,12,FALSE)</f>
        <v>0</v>
      </c>
      <c r="O17" s="351">
        <f>HLOOKUP(O$2,DIS_AB!Q$2:Q$30,29,FALSE)+HLOOKUP(O$2,DIS_ARP!Z$2:AA$13,12,FALSE)</f>
        <v>0</v>
      </c>
      <c r="P17" s="351">
        <f>HLOOKUP(P$2,DIS_AB!R$2:R$30,29,FALSE)+HLOOKUP(P$2,DIS_ARP!AB$2:AC$13,12,FALSE)</f>
        <v>0</v>
      </c>
      <c r="Q17" s="351">
        <f>HLOOKUP(Q$2,DIS_AB!S$2:S$30,29,FALSE)+HLOOKUP(Q$2,DIS_ARP!AD$2:AE$13,12,FALSE)</f>
        <v>0</v>
      </c>
      <c r="R17" s="351">
        <f>HLOOKUP(R$2,DIS_AB!T$2:T$30,29,FALSE)+HLOOKUP(R$2,DIS_ARP!AF$2:AG$13,12,FALSE)</f>
        <v>0</v>
      </c>
      <c r="S17" s="351">
        <f>HLOOKUP(S$2,DIS_AB!U$2:U$30,29,FALSE)+HLOOKUP(S$2,DIS_ARP!AH$2:AI$13,12,FALSE)</f>
        <v>0</v>
      </c>
      <c r="T17" s="351">
        <f>HLOOKUP(T$2,DIS_AB!V$2:V$30,29,FALSE)+HLOOKUP(T$2,DIS_ARP!AJ$2:AK$13,12,FALSE)</f>
        <v>0</v>
      </c>
      <c r="U17" s="351">
        <f>HLOOKUP(U$2,DIS_AB!W$2:W$30,29,FALSE)+HLOOKUP(U$2,DIS_ARP!AL$2:AM$13,12,FALSE)</f>
        <v>0</v>
      </c>
      <c r="V17" s="351">
        <f>HLOOKUP(V$2,DIS_AB!X$2:X$30,29,FALSE)+HLOOKUP(V$2,DIS_ARP!AN$2:AO$13,12,FALSE)</f>
        <v>0</v>
      </c>
      <c r="W17" s="351">
        <f>HLOOKUP(W$2,DIS_AB!Y$2:Y$30,29,FALSE)+HLOOKUP(W$2,DIS_ARP!AP$2:AQ$13,12,FALSE)</f>
        <v>0</v>
      </c>
      <c r="X17" s="351">
        <f>HLOOKUP(X$2,DIS_AB!Z$2:Z$30,29,FALSE)+HLOOKUP(X$2,DIS_ARP!AR$2:AS$13,12,FALSE)</f>
        <v>0</v>
      </c>
    </row>
    <row r="18" spans="2:24" x14ac:dyDescent="0.25">
      <c r="B18" s="347">
        <f t="shared" si="3"/>
        <v>9592</v>
      </c>
      <c r="D18" s="354" t="s">
        <v>183</v>
      </c>
      <c r="E18" s="355">
        <f>HLOOKUP(E$2,SMA!F$2:F$26,25,FALSE)</f>
        <v>9592</v>
      </c>
      <c r="F18" s="355">
        <f>HLOOKUP(F$2,SMA!G$2:G$26,25,FALSE)</f>
        <v>0</v>
      </c>
      <c r="G18" s="355">
        <f>HLOOKUP(G$2,SMA!H$2:H$26,25,FALSE)</f>
        <v>0</v>
      </c>
      <c r="H18" s="355">
        <f>HLOOKUP(H$2,SMA!I$2:I$26,25,FALSE)</f>
        <v>0</v>
      </c>
      <c r="I18" s="355">
        <f>HLOOKUP(I$2,SMA!J$2:J$26,25,FALSE)</f>
        <v>0</v>
      </c>
      <c r="J18" s="355">
        <f>HLOOKUP(J$2,SMA!K$2:K$26,25,FALSE)</f>
        <v>0</v>
      </c>
      <c r="K18" s="355">
        <f>HLOOKUP(K$2,SMA!L$2:L$26,25,FALSE)</f>
        <v>0</v>
      </c>
      <c r="L18" s="355">
        <f>HLOOKUP(L$2,SMA!M$2:M$26,25,FALSE)</f>
        <v>0</v>
      </c>
      <c r="M18" s="355">
        <f>HLOOKUP(M$2,SMA!N$2:N$26,25,FALSE)</f>
        <v>0</v>
      </c>
      <c r="N18" s="355">
        <f>HLOOKUP(N$2,SMA!O$2:O$26,25,FALSE)</f>
        <v>0</v>
      </c>
      <c r="O18" s="355">
        <f>HLOOKUP(O$2,SMA!P$2:P$26,25,FALSE)</f>
        <v>0</v>
      </c>
      <c r="P18" s="355">
        <f>HLOOKUP(P$2,SMA!Q$2:Q$26,25,FALSE)</f>
        <v>0</v>
      </c>
      <c r="Q18" s="355">
        <f>HLOOKUP(Q$2,SMA!R$2:R$26,25,FALSE)</f>
        <v>0</v>
      </c>
      <c r="R18" s="355">
        <f>HLOOKUP(R$2,SMA!S$2:S$26,25,FALSE)</f>
        <v>0</v>
      </c>
      <c r="S18" s="355">
        <f>HLOOKUP(S$2,SMA!T$2:T$26,25,FALSE)</f>
        <v>0</v>
      </c>
      <c r="T18" s="355">
        <f>HLOOKUP(T$2,SMA!U$2:U$26,25,FALSE)</f>
        <v>0</v>
      </c>
      <c r="U18" s="355">
        <f>HLOOKUP(U$2,SMA!V$2:V$26,25,FALSE)</f>
        <v>0</v>
      </c>
      <c r="V18" s="355">
        <f>HLOOKUP(V$2,SMA!W$2:W$26,25,FALSE)</f>
        <v>0</v>
      </c>
      <c r="W18" s="355">
        <f>HLOOKUP(W$2,SMA!X$2:X$26,25,FALSE)</f>
        <v>0</v>
      </c>
      <c r="X18" s="355">
        <f>HLOOKUP(X$2,SMA!Y$2:Y$26,25,FALSE)</f>
        <v>0</v>
      </c>
    </row>
    <row r="19" spans="2:24" x14ac:dyDescent="0.25">
      <c r="B19" s="346">
        <f t="shared" si="3"/>
        <v>37113.566666666666</v>
      </c>
      <c r="D19" s="352" t="s">
        <v>184</v>
      </c>
      <c r="E19" s="353">
        <f>HLOOKUP(E$2,GIA_ORD!G$2:G$34,33,FALSE)</f>
        <v>37113.566666666666</v>
      </c>
      <c r="F19" s="353">
        <f>HLOOKUP(F$2,GIA_ORD!H$2:H$34,33,FALSE)</f>
        <v>0</v>
      </c>
      <c r="G19" s="353">
        <f>HLOOKUP(G$2,GIA_ORD!I$2:I$34,33,FALSE)</f>
        <v>0</v>
      </c>
      <c r="H19" s="353">
        <f>HLOOKUP(H$2,GIA_ORD!J$2:J$34,33,FALSE)</f>
        <v>0</v>
      </c>
      <c r="I19" s="353">
        <f>HLOOKUP(I$2,GIA_ORD!K$2:K$34,33,FALSE)</f>
        <v>0</v>
      </c>
      <c r="J19" s="353">
        <f>HLOOKUP(J$2,GIA_ORD!L$2:L$34,33,FALSE)</f>
        <v>0</v>
      </c>
      <c r="K19" s="353">
        <f>HLOOKUP(K$2,GIA_ORD!M$2:M$34,33,FALSE)</f>
        <v>0</v>
      </c>
      <c r="L19" s="353">
        <f>HLOOKUP(L$2,GIA_ORD!N$2:N$34,33,FALSE)</f>
        <v>0</v>
      </c>
      <c r="M19" s="353">
        <f>HLOOKUP(M$2,GIA_ORD!O$2:O$34,33,FALSE)</f>
        <v>0</v>
      </c>
      <c r="N19" s="353">
        <f>HLOOKUP(N$2,GIA_ORD!P$2:P$34,33,FALSE)</f>
        <v>0</v>
      </c>
      <c r="O19" s="353">
        <f>HLOOKUP(O$2,GIA_ORD!Q$2:Q$34,33,FALSE)</f>
        <v>0</v>
      </c>
      <c r="P19" s="353">
        <f>HLOOKUP(P$2,GIA_ORD!R$2:R$34,33,FALSE)</f>
        <v>0</v>
      </c>
      <c r="Q19" s="353">
        <f>HLOOKUP(Q$2,GIA_ORD!S$2:S$34,33,FALSE)</f>
        <v>0</v>
      </c>
      <c r="R19" s="353">
        <f>HLOOKUP(R$2,GIA_ORD!T$2:T$34,33,FALSE)</f>
        <v>0</v>
      </c>
      <c r="S19" s="353">
        <f>HLOOKUP(S$2,GIA_ORD!U$2:U$34,33,FALSE)</f>
        <v>0</v>
      </c>
      <c r="T19" s="353">
        <f>HLOOKUP(T$2,GIA_ORD!V$2:V$34,33,FALSE)</f>
        <v>0</v>
      </c>
      <c r="U19" s="353">
        <f>HLOOKUP(U$2,GIA_ORD!W$2:W$34,33,FALSE)</f>
        <v>0</v>
      </c>
      <c r="V19" s="353">
        <f>HLOOKUP(V$2,GIA_ORD!X$2:X$34,33,FALSE)</f>
        <v>0</v>
      </c>
      <c r="W19" s="353">
        <f>HLOOKUP(W$2,GIA_ORD!Y$2:Y$34,33,FALSE)</f>
        <v>0</v>
      </c>
      <c r="X19" s="353">
        <f>HLOOKUP(X$2,GIA_ORD!Z$2:Z$34,33,FALSE)</f>
        <v>0</v>
      </c>
    </row>
    <row r="20" spans="2:24" x14ac:dyDescent="0.25">
      <c r="B20" s="362">
        <f>SUM(B21:B24)</f>
        <v>1296277.1516666666</v>
      </c>
      <c r="D20" s="363" t="s">
        <v>127</v>
      </c>
      <c r="E20" s="364">
        <f>SUM(E21:E24)</f>
        <v>1296277.1516666666</v>
      </c>
      <c r="F20" s="364">
        <f t="shared" ref="F20:X20" si="4">SUM(F21:F24)</f>
        <v>0</v>
      </c>
      <c r="G20" s="364">
        <f t="shared" si="4"/>
        <v>0</v>
      </c>
      <c r="H20" s="364">
        <f t="shared" si="4"/>
        <v>0</v>
      </c>
      <c r="I20" s="364">
        <f t="shared" si="4"/>
        <v>0</v>
      </c>
      <c r="J20" s="364">
        <f t="shared" si="4"/>
        <v>0</v>
      </c>
      <c r="K20" s="364">
        <f t="shared" si="4"/>
        <v>0</v>
      </c>
      <c r="L20" s="364">
        <f t="shared" si="4"/>
        <v>0</v>
      </c>
      <c r="M20" s="364">
        <f t="shared" si="4"/>
        <v>0</v>
      </c>
      <c r="N20" s="364">
        <f t="shared" si="4"/>
        <v>0</v>
      </c>
      <c r="O20" s="364">
        <f t="shared" si="4"/>
        <v>0</v>
      </c>
      <c r="P20" s="364">
        <f t="shared" si="4"/>
        <v>0</v>
      </c>
      <c r="Q20" s="364">
        <f t="shared" si="4"/>
        <v>0</v>
      </c>
      <c r="R20" s="364">
        <f t="shared" si="4"/>
        <v>0</v>
      </c>
      <c r="S20" s="364">
        <f t="shared" si="4"/>
        <v>0</v>
      </c>
      <c r="T20" s="364">
        <f t="shared" si="4"/>
        <v>0</v>
      </c>
      <c r="U20" s="364">
        <f t="shared" si="4"/>
        <v>0</v>
      </c>
      <c r="V20" s="364">
        <f t="shared" si="4"/>
        <v>0</v>
      </c>
      <c r="W20" s="364">
        <f t="shared" si="4"/>
        <v>0</v>
      </c>
      <c r="X20" s="364">
        <f t="shared" si="4"/>
        <v>0</v>
      </c>
    </row>
    <row r="21" spans="2:24" x14ac:dyDescent="0.25">
      <c r="B21" s="344">
        <f t="shared" ref="B21:B24" si="5">SUM(E21:X21)</f>
        <v>0</v>
      </c>
      <c r="D21" s="348" t="s">
        <v>6</v>
      </c>
      <c r="E21" s="349">
        <f>HLOOKUP(E$2,REC!E$2:E$19,18,FALSE)</f>
        <v>0</v>
      </c>
      <c r="F21" s="349">
        <f>HLOOKUP(F$2,REC!F$2:F$19,18,FALSE)</f>
        <v>0</v>
      </c>
      <c r="G21" s="349">
        <f>HLOOKUP(G$2,REC!G$2:G$19,18,FALSE)</f>
        <v>0</v>
      </c>
      <c r="H21" s="349">
        <f>HLOOKUP(H$2,REC!H$2:H$19,18,FALSE)</f>
        <v>0</v>
      </c>
      <c r="I21" s="349">
        <f>HLOOKUP(I$2,REC!I$2:I$19,18,FALSE)</f>
        <v>0</v>
      </c>
      <c r="J21" s="349">
        <f>HLOOKUP(J$2,REC!J$2:J$19,18,FALSE)</f>
        <v>0</v>
      </c>
      <c r="K21" s="349">
        <f>HLOOKUP(K$2,REC!K$2:K$19,18,FALSE)</f>
        <v>0</v>
      </c>
      <c r="L21" s="349">
        <f>HLOOKUP(L$2,REC!L$2:L$19,18,FALSE)</f>
        <v>0</v>
      </c>
      <c r="M21" s="349">
        <f>HLOOKUP(M$2,REC!M$2:M$19,18,FALSE)</f>
        <v>0</v>
      </c>
      <c r="N21" s="349">
        <f>HLOOKUP(N$2,REC!N$2:N$19,18,FALSE)</f>
        <v>0</v>
      </c>
      <c r="O21" s="349">
        <f>HLOOKUP(O$2,REC!O$2:O$19,18,FALSE)</f>
        <v>0</v>
      </c>
      <c r="P21" s="349">
        <f>HLOOKUP(P$2,REC!P$2:P$19,18,FALSE)</f>
        <v>0</v>
      </c>
      <c r="Q21" s="349">
        <f>HLOOKUP(Q$2,REC!Q$2:Q$19,18,FALSE)</f>
        <v>0</v>
      </c>
      <c r="R21" s="349">
        <f>HLOOKUP(R$2,REC!R$2:R$19,18,FALSE)</f>
        <v>0</v>
      </c>
      <c r="S21" s="349">
        <f>HLOOKUP(S$2,REC!S$2:S$19,18,FALSE)</f>
        <v>0</v>
      </c>
      <c r="T21" s="349">
        <f>HLOOKUP(T$2,REC!T$2:T$19,18,FALSE)</f>
        <v>0</v>
      </c>
      <c r="U21" s="349">
        <f>HLOOKUP(U$2,REC!U$2:U$19,18,FALSE)</f>
        <v>0</v>
      </c>
      <c r="V21" s="349">
        <f>HLOOKUP(V$2,REC!V$2:V$19,18,FALSE)</f>
        <v>0</v>
      </c>
      <c r="W21" s="349">
        <f>HLOOKUP(W$2,REC!W$2:W$19,18,FALSE)</f>
        <v>0</v>
      </c>
      <c r="X21" s="349">
        <f>HLOOKUP(X$2,REC!X$2:X$19,18,FALSE)</f>
        <v>0</v>
      </c>
    </row>
    <row r="22" spans="2:24" x14ac:dyDescent="0.25">
      <c r="B22" s="347">
        <f t="shared" si="5"/>
        <v>1140314.8799999999</v>
      </c>
      <c r="D22" s="354" t="s">
        <v>1</v>
      </c>
      <c r="E22" s="355">
        <f>HLOOKUP(E$2,FAC!E$2:E$19,18,FALSE)</f>
        <v>1140314.8799999999</v>
      </c>
      <c r="F22" s="355">
        <f>HLOOKUP(F$2,FAC!F$2:F$19,18,FALSE)</f>
        <v>0</v>
      </c>
      <c r="G22" s="355">
        <f>HLOOKUP(G$2,FAC!G$2:G$19,18,FALSE)</f>
        <v>0</v>
      </c>
      <c r="H22" s="355">
        <f>HLOOKUP(H$2,FAC!H$2:H$19,18,FALSE)</f>
        <v>0</v>
      </c>
      <c r="I22" s="355">
        <f>HLOOKUP(I$2,FAC!I$2:I$19,18,FALSE)</f>
        <v>0</v>
      </c>
      <c r="J22" s="355">
        <f>HLOOKUP(J$2,FAC!J$2:J$19,18,FALSE)</f>
        <v>0</v>
      </c>
      <c r="K22" s="355">
        <f>HLOOKUP(K$2,FAC!K$2:K$19,18,FALSE)</f>
        <v>0</v>
      </c>
      <c r="L22" s="355">
        <f>HLOOKUP(L$2,FAC!L$2:L$19,18,FALSE)</f>
        <v>0</v>
      </c>
      <c r="M22" s="355">
        <f>HLOOKUP(M$2,FAC!M$2:M$19,18,FALSE)</f>
        <v>0</v>
      </c>
      <c r="N22" s="355">
        <f>HLOOKUP(N$2,FAC!N$2:N$19,18,FALSE)</f>
        <v>0</v>
      </c>
      <c r="O22" s="355">
        <f>HLOOKUP(O$2,FAC!O$2:O$19,18,FALSE)</f>
        <v>0</v>
      </c>
      <c r="P22" s="355">
        <f>HLOOKUP(P$2,FAC!P$2:P$19,18,FALSE)</f>
        <v>0</v>
      </c>
      <c r="Q22" s="355">
        <f>HLOOKUP(Q$2,FAC!Q$2:Q$19,18,FALSE)</f>
        <v>0</v>
      </c>
      <c r="R22" s="355">
        <f>HLOOKUP(R$2,FAC!R$2:R$19,18,FALSE)</f>
        <v>0</v>
      </c>
      <c r="S22" s="355">
        <f>HLOOKUP(S$2,FAC!S$2:S$19,18,FALSE)</f>
        <v>0</v>
      </c>
      <c r="T22" s="355">
        <f>HLOOKUP(T$2,FAC!T$2:T$19,18,FALSE)</f>
        <v>0</v>
      </c>
      <c r="U22" s="355">
        <f>HLOOKUP(U$2,FAC!U$2:U$19,18,FALSE)</f>
        <v>0</v>
      </c>
      <c r="V22" s="355">
        <f>HLOOKUP(V$2,FAC!V$2:V$19,18,FALSE)</f>
        <v>0</v>
      </c>
      <c r="W22" s="355">
        <f>HLOOKUP(W$2,FAC!W$2:W$19,18,FALSE)</f>
        <v>0</v>
      </c>
      <c r="X22" s="355">
        <f>HLOOKUP(X$2,FAC!X$2:X$19,18,FALSE)</f>
        <v>0</v>
      </c>
    </row>
    <row r="23" spans="2:24" x14ac:dyDescent="0.25">
      <c r="B23" s="345">
        <f t="shared" si="5"/>
        <v>0</v>
      </c>
      <c r="D23" s="350" t="s">
        <v>0</v>
      </c>
      <c r="E23" s="351">
        <f>HLOOKUP(E$2,TRA!E$2:E$23,22,FALSE)</f>
        <v>0</v>
      </c>
      <c r="F23" s="351">
        <f>HLOOKUP(F$2,TRA!F$2:F$23,22,FALSE)</f>
        <v>0</v>
      </c>
      <c r="G23" s="351">
        <f>HLOOKUP(G$2,TRA!G$2:G$23,22,FALSE)</f>
        <v>0</v>
      </c>
      <c r="H23" s="351">
        <f>HLOOKUP(H$2,TRA!H$2:H$23,22,FALSE)</f>
        <v>0</v>
      </c>
      <c r="I23" s="351">
        <f>HLOOKUP(I$2,TRA!I$2:I$23,22,FALSE)</f>
        <v>0</v>
      </c>
      <c r="J23" s="351">
        <f>HLOOKUP(J$2,TRA!J$2:J$23,22,FALSE)</f>
        <v>0</v>
      </c>
      <c r="K23" s="351">
        <f>HLOOKUP(K$2,TRA!K$2:K$23,22,FALSE)</f>
        <v>0</v>
      </c>
      <c r="L23" s="351">
        <f>HLOOKUP(L$2,TRA!L$2:L$23,22,FALSE)</f>
        <v>0</v>
      </c>
      <c r="M23" s="351">
        <f>HLOOKUP(M$2,TRA!M$2:M$23,22,FALSE)</f>
        <v>0</v>
      </c>
      <c r="N23" s="351">
        <f>HLOOKUP(N$2,TRA!N$2:N$23,22,FALSE)</f>
        <v>0</v>
      </c>
      <c r="O23" s="351">
        <f>HLOOKUP(O$2,TRA!O$2:O$23,22,FALSE)</f>
        <v>0</v>
      </c>
      <c r="P23" s="351">
        <f>HLOOKUP(P$2,TRA!P$2:P$23,22,FALSE)</f>
        <v>0</v>
      </c>
      <c r="Q23" s="351">
        <f>HLOOKUP(Q$2,TRA!Q$2:Q$23,22,FALSE)</f>
        <v>0</v>
      </c>
      <c r="R23" s="351">
        <f>HLOOKUP(R$2,TRA!R$2:R$23,22,FALSE)</f>
        <v>0</v>
      </c>
      <c r="S23" s="351">
        <f>HLOOKUP(S$2,TRA!S$2:S$23,22,FALSE)</f>
        <v>0</v>
      </c>
      <c r="T23" s="351">
        <f>HLOOKUP(T$2,TRA!T$2:T$23,22,FALSE)</f>
        <v>0</v>
      </c>
      <c r="U23" s="351">
        <f>HLOOKUP(U$2,TRA!U$2:U$23,22,FALSE)</f>
        <v>0</v>
      </c>
      <c r="V23" s="351">
        <f>HLOOKUP(V$2,TRA!V$2:V$23,22,FALSE)</f>
        <v>0</v>
      </c>
      <c r="W23" s="351">
        <f>HLOOKUP(W$2,TRA!W$2:W$23,22,FALSE)</f>
        <v>0</v>
      </c>
      <c r="X23" s="351">
        <f>HLOOKUP(X$2,TRA!X$2:X$23,22,FALSE)</f>
        <v>0</v>
      </c>
    </row>
    <row r="24" spans="2:24" ht="15.75" thickBot="1" x14ac:dyDescent="0.3">
      <c r="B24" s="359">
        <f t="shared" si="5"/>
        <v>155962.2716666667</v>
      </c>
      <c r="D24" s="360" t="s">
        <v>121</v>
      </c>
      <c r="E24" s="361">
        <f>HLOOKUP(E$2,EDI!G$2:G$9,8,FALSE)</f>
        <v>155962.2716666667</v>
      </c>
      <c r="F24" s="361">
        <f>HLOOKUP(F$2,EDI!H$2:H$9,8,FALSE)</f>
        <v>0</v>
      </c>
      <c r="G24" s="361">
        <f>HLOOKUP(G$2,EDI!I$2:I$9,8,FALSE)</f>
        <v>0</v>
      </c>
      <c r="H24" s="361">
        <f>HLOOKUP(H$2,EDI!J$2:J$9,8,FALSE)</f>
        <v>0</v>
      </c>
      <c r="I24" s="361">
        <f>HLOOKUP(I$2,EDI!K$2:K$9,8,FALSE)</f>
        <v>0</v>
      </c>
      <c r="J24" s="361">
        <f>HLOOKUP(J$2,EDI!L$2:L$9,8,FALSE)</f>
        <v>0</v>
      </c>
      <c r="K24" s="361">
        <f>HLOOKUP(K$2,EDI!M$2:M$9,8,FALSE)</f>
        <v>0</v>
      </c>
      <c r="L24" s="361">
        <f>HLOOKUP(L$2,EDI!N$2:N$9,8,FALSE)</f>
        <v>0</v>
      </c>
      <c r="M24" s="361">
        <f>HLOOKUP(M$2,EDI!O$2:O$9,8,FALSE)</f>
        <v>0</v>
      </c>
      <c r="N24" s="361">
        <f>HLOOKUP(N$2,EDI!P$2:P$9,8,FALSE)</f>
        <v>0</v>
      </c>
      <c r="O24" s="361">
        <f>HLOOKUP(O$2,EDI!Q$2:Q$9,8,FALSE)</f>
        <v>0</v>
      </c>
      <c r="P24" s="361">
        <f>HLOOKUP(P$2,EDI!R$2:R$9,8,FALSE)</f>
        <v>0</v>
      </c>
      <c r="Q24" s="361">
        <f>HLOOKUP(Q$2,EDI!S$2:S$9,8,FALSE)</f>
        <v>0</v>
      </c>
      <c r="R24" s="361">
        <f>HLOOKUP(R$2,EDI!T$2:T$9,8,FALSE)</f>
        <v>0</v>
      </c>
      <c r="S24" s="361">
        <f>HLOOKUP(S$2,EDI!U$2:U$9,8,FALSE)</f>
        <v>0</v>
      </c>
      <c r="T24" s="361">
        <f>HLOOKUP(T$2,EDI!V$2:V$9,8,FALSE)</f>
        <v>0</v>
      </c>
      <c r="U24" s="361">
        <f>HLOOKUP(U$2,EDI!W$2:W$9,8,FALSE)</f>
        <v>0</v>
      </c>
      <c r="V24" s="361">
        <f>HLOOKUP(V$2,EDI!X$2:X$9,8,FALSE)</f>
        <v>0</v>
      </c>
      <c r="W24" s="361">
        <f>HLOOKUP(W$2,EDI!Y$2:Y$9,8,FALSE)</f>
        <v>0</v>
      </c>
      <c r="X24" s="361">
        <f>HLOOKUP(X$2,EDI!Z$2:Z$9,8,FALSE)</f>
        <v>0</v>
      </c>
    </row>
    <row r="25" spans="2:24" s="1" customFormat="1" ht="12.75" thickBot="1" x14ac:dyDescent="0.25">
      <c r="B25" s="367"/>
      <c r="D25" s="368" t="s">
        <v>1155</v>
      </c>
      <c r="E25" s="369">
        <f t="shared" ref="E25:X25" si="6">SUM(E6,E14,E20)</f>
        <v>6409647.6423333334</v>
      </c>
      <c r="F25" s="369">
        <f t="shared" si="6"/>
        <v>0</v>
      </c>
      <c r="G25" s="369">
        <f t="shared" si="6"/>
        <v>0</v>
      </c>
      <c r="H25" s="369">
        <f t="shared" si="6"/>
        <v>0</v>
      </c>
      <c r="I25" s="369">
        <f t="shared" si="6"/>
        <v>0</v>
      </c>
      <c r="J25" s="369">
        <f t="shared" si="6"/>
        <v>0</v>
      </c>
      <c r="K25" s="369">
        <f t="shared" si="6"/>
        <v>0</v>
      </c>
      <c r="L25" s="369">
        <f t="shared" si="6"/>
        <v>0</v>
      </c>
      <c r="M25" s="369">
        <f t="shared" si="6"/>
        <v>0</v>
      </c>
      <c r="N25" s="369">
        <f t="shared" si="6"/>
        <v>0</v>
      </c>
      <c r="O25" s="369">
        <f t="shared" si="6"/>
        <v>0</v>
      </c>
      <c r="P25" s="369">
        <f t="shared" si="6"/>
        <v>0</v>
      </c>
      <c r="Q25" s="369">
        <f t="shared" si="6"/>
        <v>0</v>
      </c>
      <c r="R25" s="369">
        <f t="shared" si="6"/>
        <v>0</v>
      </c>
      <c r="S25" s="369">
        <f t="shared" si="6"/>
        <v>0</v>
      </c>
      <c r="T25" s="369">
        <f t="shared" si="6"/>
        <v>0</v>
      </c>
      <c r="U25" s="369">
        <f t="shared" si="6"/>
        <v>0</v>
      </c>
      <c r="V25" s="369">
        <f t="shared" si="6"/>
        <v>0</v>
      </c>
      <c r="W25" s="369">
        <f t="shared" si="6"/>
        <v>0</v>
      </c>
      <c r="X25" s="369">
        <f t="shared" si="6"/>
        <v>0</v>
      </c>
    </row>
    <row r="26" spans="2:24" s="517" customFormat="1" ht="12.75" thickBot="1" x14ac:dyDescent="0.25">
      <c r="B26" s="516"/>
      <c r="D26" s="515" t="s">
        <v>1262</v>
      </c>
      <c r="E26" s="518">
        <f>COUNTIF(E10:E12,"&gt;0")+COUNTIF(E7:E8,"&gt;0")+(IF(AND(SUM(CLI!G7:G8)&gt;0,SUM(CLI!G21:G34)&gt;0),2,IF(AND(SUM(CLI!G7:G8)&gt;0,SUM(CLI!G21:G34)=0),1,IF(AND(SUM(CLI!G7:G8)=0,SUM(CLI!G21:G34)&gt;0),1,IF(AND(SUM(CLI!G7:G8,CLI!G21:G34)=0,SUM(CLI!G9:G20)&gt;0),1,0)))))</f>
        <v>5</v>
      </c>
      <c r="F26" s="518">
        <f>COUNTIF(F10:F12,"&gt;0")+COUNTIF(F7:F8,"&gt;0")+(IF(AND(SUM(CLI!H7:H8)&gt;0,SUM(CLI!H21:H34)&gt;0),2,IF(AND(SUM(CLI!H7:H8)&gt;0,SUM(CLI!H21:H34)=0),1,IF(AND(SUM(CLI!H7:H8)=0,SUM(CLI!H21:H34)&gt;0),1,IF(AND(SUM(CLI!H7:H8,CLI!H21:H34)=0,SUM(CLI!H9:H20)&gt;0),1,0)))))</f>
        <v>0</v>
      </c>
      <c r="G26" s="518">
        <f>COUNTIF(G10:G12,"&gt;0")+COUNTIF(G7:G8,"&gt;0")+(IF(AND(SUM(CLI!I7:I8)&gt;0,SUM(CLI!I21:I34)&gt;0),2,IF(AND(SUM(CLI!I7:I8)&gt;0,SUM(CLI!I21:I34)=0),1,IF(AND(SUM(CLI!I7:I8)=0,SUM(CLI!I21:I34)&gt;0),1,IF(AND(SUM(CLI!I7:I8,CLI!I21:I34)=0,SUM(CLI!I9:I20)&gt;0),1,0)))))</f>
        <v>0</v>
      </c>
      <c r="H26" s="518">
        <f>COUNTIF(H10:H12,"&gt;0")+COUNTIF(H7:H8,"&gt;0")+(IF(AND(SUM(CLI!J7:J8)&gt;0,SUM(CLI!J21:J34)&gt;0),2,IF(AND(SUM(CLI!J7:J8)&gt;0,SUM(CLI!J21:J34)=0),1,IF(AND(SUM(CLI!J7:J8)=0,SUM(CLI!J21:J34)&gt;0),1,IF(AND(SUM(CLI!J7:J8,CLI!J21:J34)=0,SUM(CLI!J9:J20)&gt;0),1,0)))))</f>
        <v>0</v>
      </c>
      <c r="I26" s="518">
        <f>COUNTIF(I10:I12,"&gt;0")+COUNTIF(I7:I8,"&gt;0")+(IF(AND(SUM(CLI!K7:K8)&gt;0,SUM(CLI!K21:K34)&gt;0),2,IF(AND(SUM(CLI!K7:K8)&gt;0,SUM(CLI!K21:K34)=0),1,IF(AND(SUM(CLI!K7:K8)=0,SUM(CLI!K21:K34)&gt;0),1,IF(AND(SUM(CLI!K7:K8,CLI!K21:K34)=0,SUM(CLI!K9:K20)&gt;0),1,0)))))</f>
        <v>0</v>
      </c>
      <c r="J26" s="518">
        <f>COUNTIF(J10:J12,"&gt;0")+COUNTIF(J7:J8,"&gt;0")+(IF(AND(SUM(CLI!L7:L8)&gt;0,SUM(CLI!L21:L34)&gt;0),2,IF(AND(SUM(CLI!L7:L8)&gt;0,SUM(CLI!L21:L34)=0),1,IF(AND(SUM(CLI!L7:L8)=0,SUM(CLI!L21:L34)&gt;0),1,IF(AND(SUM(CLI!L7:L8,CLI!L21:L34)=0,SUM(CLI!L9:L20)&gt;0),1,0)))))</f>
        <v>0</v>
      </c>
      <c r="K26" s="518">
        <f>COUNTIF(K10:K12,"&gt;0")+COUNTIF(K7:K8,"&gt;0")+(IF(AND(SUM(CLI!M7:M8)&gt;0,SUM(CLI!M21:M34)&gt;0),2,IF(AND(SUM(CLI!M7:M8)&gt;0,SUM(CLI!M21:M34)=0),1,IF(AND(SUM(CLI!M7:M8)=0,SUM(CLI!M21:M34)&gt;0),1,IF(AND(SUM(CLI!M7:M8,CLI!M21:M34)=0,SUM(CLI!M9:M20)&gt;0),1,0)))))</f>
        <v>0</v>
      </c>
      <c r="L26" s="518">
        <f>COUNTIF(L10:L12,"&gt;0")+COUNTIF(L7:L8,"&gt;0")+(IF(AND(SUM(CLI!N7:N8)&gt;0,SUM(CLI!N21:N34)&gt;0),2,IF(AND(SUM(CLI!N7:N8)&gt;0,SUM(CLI!N21:N34)=0),1,IF(AND(SUM(CLI!N7:N8)=0,SUM(CLI!N21:N34)&gt;0),1,IF(AND(SUM(CLI!N7:N8,CLI!N21:N34)=0,SUM(CLI!N9:N20)&gt;0),1,0)))))</f>
        <v>0</v>
      </c>
      <c r="M26" s="518">
        <f>COUNTIF(M10:M12,"&gt;0")+COUNTIF(M7:M8,"&gt;0")+(IF(AND(SUM(CLI!O7:O8)&gt;0,SUM(CLI!O21:O34)&gt;0),2,IF(AND(SUM(CLI!O7:O8)&gt;0,SUM(CLI!O21:O34)=0),1,IF(AND(SUM(CLI!O7:O8)=0,SUM(CLI!O21:O34)&gt;0),1,IF(AND(SUM(CLI!O7:O8,CLI!O21:O34)=0,SUM(CLI!O9:O20)&gt;0),1,0)))))</f>
        <v>0</v>
      </c>
      <c r="N26" s="518">
        <f>COUNTIF(N10:N12,"&gt;0")+COUNTIF(N7:N8,"&gt;0")+(IF(AND(SUM(CLI!P7:P8)&gt;0,SUM(CLI!P21:P34)&gt;0),2,IF(AND(SUM(CLI!P7:P8)&gt;0,SUM(CLI!P21:P34)=0),1,IF(AND(SUM(CLI!P7:P8)=0,SUM(CLI!P21:P34)&gt;0),1,IF(AND(SUM(CLI!P7:P8,CLI!P21:P34)=0,SUM(CLI!P9:P20)&gt;0),1,0)))))</f>
        <v>0</v>
      </c>
      <c r="O26" s="518">
        <f>COUNTIF(O10:O12,"&gt;0")+COUNTIF(O7:O8,"&gt;0")+(IF(AND(SUM(CLI!Q7:Q8)&gt;0,SUM(CLI!Q21:Q34)&gt;0),2,IF(AND(SUM(CLI!Q7:Q8)&gt;0,SUM(CLI!Q21:Q34)=0),1,IF(AND(SUM(CLI!Q7:Q8)=0,SUM(CLI!Q21:Q34)&gt;0),1,IF(AND(SUM(CLI!Q7:Q8,CLI!Q21:Q34)=0,SUM(CLI!Q9:Q20)&gt;0),1,0)))))</f>
        <v>0</v>
      </c>
      <c r="P26" s="518">
        <f>COUNTIF(P10:P12,"&gt;0")+COUNTIF(P7:P8,"&gt;0")+(IF(AND(SUM(CLI!R7:R8)&gt;0,SUM(CLI!R21:R34)&gt;0),2,IF(AND(SUM(CLI!R7:R8)&gt;0,SUM(CLI!R21:R34)=0),1,IF(AND(SUM(CLI!R7:R8)=0,SUM(CLI!R21:R34)&gt;0),1,IF(AND(SUM(CLI!R7:R8,CLI!R21:R34)=0,SUM(CLI!R9:R20)&gt;0),1,0)))))</f>
        <v>0</v>
      </c>
      <c r="Q26" s="518">
        <f>COUNTIF(Q10:Q12,"&gt;0")+COUNTIF(Q7:Q8,"&gt;0")+(IF(AND(SUM(CLI!S7:S8)&gt;0,SUM(CLI!S21:S34)&gt;0),2,IF(AND(SUM(CLI!S7:S8)&gt;0,SUM(CLI!S21:S34)=0),1,IF(AND(SUM(CLI!S7:S8)=0,SUM(CLI!S21:S34)&gt;0),1,IF(AND(SUM(CLI!S7:S8,CLI!S21:S34)=0,SUM(CLI!S9:S20)&gt;0),1,0)))))</f>
        <v>0</v>
      </c>
      <c r="R26" s="518">
        <f>COUNTIF(R10:R12,"&gt;0")+COUNTIF(R7:R8,"&gt;0")+(IF(AND(SUM(CLI!T7:T8)&gt;0,SUM(CLI!T21:T34)&gt;0),2,IF(AND(SUM(CLI!T7:T8)&gt;0,SUM(CLI!T21:T34)=0),1,IF(AND(SUM(CLI!T7:T8)=0,SUM(CLI!T21:T34)&gt;0),1,IF(AND(SUM(CLI!T7:T8,CLI!T21:T34)=0,SUM(CLI!T9:T20)&gt;0),1,0)))))</f>
        <v>0</v>
      </c>
      <c r="S26" s="518">
        <f>COUNTIF(S10:S12,"&gt;0")+COUNTIF(S7:S8,"&gt;0")+(IF(AND(SUM(CLI!U7:U8)&gt;0,SUM(CLI!U21:U34)&gt;0),2,IF(AND(SUM(CLI!U7:U8)&gt;0,SUM(CLI!U21:U34)=0),1,IF(AND(SUM(CLI!U7:U8)=0,SUM(CLI!U21:U34)&gt;0),1,IF(AND(SUM(CLI!U7:U8,CLI!U21:U34)=0,SUM(CLI!U9:U20)&gt;0),1,0)))))</f>
        <v>0</v>
      </c>
      <c r="T26" s="518">
        <f>COUNTIF(T10:T12,"&gt;0")+COUNTIF(T7:T8,"&gt;0")+(IF(AND(SUM(CLI!V7:V8)&gt;0,SUM(CLI!V21:V34)&gt;0),2,IF(AND(SUM(CLI!V7:V8)&gt;0,SUM(CLI!V21:V34)=0),1,IF(AND(SUM(CLI!V7:V8)=0,SUM(CLI!V21:V34)&gt;0),1,IF(AND(SUM(CLI!V7:V8,CLI!V21:V34)=0,SUM(CLI!V9:V20)&gt;0),1,0)))))</f>
        <v>0</v>
      </c>
      <c r="U26" s="518">
        <f>COUNTIF(U10:U12,"&gt;0")+COUNTIF(U7:U8,"&gt;0")+(IF(AND(SUM(CLI!W7:W8)&gt;0,SUM(CLI!W21:W34)&gt;0),2,IF(AND(SUM(CLI!W7:W8)&gt;0,SUM(CLI!W21:W34)=0),1,IF(AND(SUM(CLI!W7:W8)=0,SUM(CLI!W21:W34)&gt;0),1,IF(AND(SUM(CLI!W7:W8,CLI!W21:W34)=0,SUM(CLI!W9:W20)&gt;0),1,0)))))</f>
        <v>0</v>
      </c>
      <c r="V26" s="518">
        <f>COUNTIF(V10:V12,"&gt;0")+COUNTIF(V7:V8,"&gt;0")+(IF(AND(SUM(CLI!X7:X8)&gt;0,SUM(CLI!X21:X34)&gt;0),2,IF(AND(SUM(CLI!X7:X8)&gt;0,SUM(CLI!X21:X34)=0),1,IF(AND(SUM(CLI!X7:X8)=0,SUM(CLI!X21:X34)&gt;0),1,IF(AND(SUM(CLI!X7:X8,CLI!X21:X34)=0,SUM(CLI!X9:X20)&gt;0),1,0)))))</f>
        <v>0</v>
      </c>
      <c r="W26" s="518">
        <f>COUNTIF(W10:W12,"&gt;0")+COUNTIF(W7:W8,"&gt;0")+(IF(AND(SUM(CLI!Y7:Y8)&gt;0,SUM(CLI!Y21:Y34)&gt;0),2,IF(AND(SUM(CLI!Y7:Y8)&gt;0,SUM(CLI!Y21:Y34)=0),1,IF(AND(SUM(CLI!Y7:Y8)=0,SUM(CLI!Y21:Y34)&gt;0),1,IF(AND(SUM(CLI!Y7:Y8,CLI!Y21:Y34)=0,SUM(CLI!Y9:Y20)&gt;0),1,0)))))</f>
        <v>0</v>
      </c>
      <c r="X26" s="518">
        <f>COUNTIF(X10:X12,"&gt;0")+COUNTIF(X7:X8,"&gt;0")+(IF(AND(SUM(CLI!Z7:Z8)&gt;0,SUM(CLI!Z21:Z34)&gt;0),2,IF(AND(SUM(CLI!Z7:Z8)&gt;0,SUM(CLI!Z21:Z34)=0),1,IF(AND(SUM(CLI!Z7:Z8)=0,SUM(CLI!Z21:Z34)&gt;0),1,IF(AND(SUM(CLI!Z7:Z8,CLI!Z21:Z34)=0,SUM(CLI!Z9:Z20)&gt;0),1,0)))))</f>
        <v>0</v>
      </c>
    </row>
    <row r="27" spans="2:24" s="517" customFormat="1" ht="12.75" thickBot="1" x14ac:dyDescent="0.25">
      <c r="B27" s="516"/>
      <c r="D27" s="515" t="s">
        <v>1264</v>
      </c>
      <c r="E27" s="518">
        <f>COUNTIF(E15,"&gt;0")+COUNTIF(E17,"&gt;0")+COUNTIF(E18,"&gt;0")+COUNTIF(E19,"&gt;0")+COUNTIF(E21,"&gt;0")+COUNTIF(E22,"&gt;0")+COUNTIF(E23,"&gt;0")+COUNTIF(E24,"&gt;0")+COUNTIF(E10:E12,"&gt;0")+COUNTIF(E7:E8,"&gt;0")+(IF(AND(SUM(CLI!G7:G8)&gt;0,SUM(CLI!G21:G34)&gt;0),2,IF(AND(SUM(CLI!G7:G8)&gt;0,SUM(CLI!G21:G34)=0),1,IF(AND(SUM(CLI!G7:G8)=0,SUM(CLI!G21:G34)&gt;0),1,IF(AND(SUM(CLI!G7:G8,CLI!G21:G34)=0,SUM(CLI!G9:G20)&gt;0),1,0)))))</f>
        <v>11</v>
      </c>
      <c r="F27" s="518">
        <f>COUNTIF(F15,"&gt;0")+COUNTIF(F17,"&gt;0")+COUNTIF(F18,"&gt;0")+COUNTIF(F19,"&gt;0")+COUNTIF(F21,"&gt;0")+COUNTIF(F22,"&gt;0")+COUNTIF(F23,"&gt;0")+COUNTIF(F24,"&gt;0")+COUNTIF(F10:F12,"&gt;0")+COUNTIF(F7:F8,"&gt;0")+(IF(AND(SUM(CLI!H7:H8)&gt;0,SUM(CLI!H21:H34)&gt;0),2,IF(AND(SUM(CLI!H7:H8)&gt;0,SUM(CLI!H21:H34)=0),1,IF(AND(SUM(CLI!H7:H8)=0,SUM(CLI!H21:H34)&gt;0),1,IF(AND(SUM(CLI!H7:H8,CLI!H21:H34)=0,SUM(CLI!H9:H20)&gt;0),1,0)))))</f>
        <v>0</v>
      </c>
      <c r="G27" s="518">
        <f>COUNTIF(G15,"&gt;0")+COUNTIF(G17,"&gt;0")+COUNTIF(G18,"&gt;0")+COUNTIF(G19,"&gt;0")+COUNTIF(G21,"&gt;0")+COUNTIF(G22,"&gt;0")+COUNTIF(G23,"&gt;0")+COUNTIF(G24,"&gt;0")+COUNTIF(G10:G12,"&gt;0")+COUNTIF(G7:G8,"&gt;0")+(IF(AND(SUM(CLI!I7:I8)&gt;0,SUM(CLI!I21:I34)&gt;0),2,IF(AND(SUM(CLI!I7:I8)&gt;0,SUM(CLI!I21:I34)=0),1,IF(AND(SUM(CLI!I7:I8)=0,SUM(CLI!I21:I34)&gt;0),1,IF(AND(SUM(CLI!I7:I8,CLI!I21:I34)=0,SUM(CLI!I9:I20)&gt;0),1,0)))))</f>
        <v>0</v>
      </c>
      <c r="H27" s="518">
        <f>COUNTIF(H15,"&gt;0")+COUNTIF(H17,"&gt;0")+COUNTIF(H18,"&gt;0")+COUNTIF(H19,"&gt;0")+COUNTIF(H21,"&gt;0")+COUNTIF(H22,"&gt;0")+COUNTIF(H23,"&gt;0")+COUNTIF(H24,"&gt;0")+COUNTIF(H10:H12,"&gt;0")+COUNTIF(H7:H8,"&gt;0")+(IF(AND(SUM(CLI!J7:J8)&gt;0,SUM(CLI!J21:J34)&gt;0),2,IF(AND(SUM(CLI!J7:J8)&gt;0,SUM(CLI!J21:J34)=0),1,IF(AND(SUM(CLI!J7:J8)=0,SUM(CLI!J21:J34)&gt;0),1,IF(AND(SUM(CLI!J7:J8,CLI!J21:J34)=0,SUM(CLI!J9:J20)&gt;0),1,0)))))</f>
        <v>0</v>
      </c>
      <c r="I27" s="518">
        <f>COUNTIF(I15,"&gt;0")+COUNTIF(I17,"&gt;0")+COUNTIF(I18,"&gt;0")+COUNTIF(I19,"&gt;0")+COUNTIF(I21,"&gt;0")+COUNTIF(I22,"&gt;0")+COUNTIF(I23,"&gt;0")+COUNTIF(I24,"&gt;0")+COUNTIF(I10:I12,"&gt;0")+COUNTIF(I7:I8,"&gt;0")+(IF(AND(SUM(CLI!K7:K8)&gt;0,SUM(CLI!K21:K34)&gt;0),2,IF(AND(SUM(CLI!K7:K8)&gt;0,SUM(CLI!K21:K34)=0),1,IF(AND(SUM(CLI!K7:K8)=0,SUM(CLI!K21:K34)&gt;0),1,IF(AND(SUM(CLI!K7:K8,CLI!K21:K34)=0,SUM(CLI!K9:K20)&gt;0),1,0)))))</f>
        <v>0</v>
      </c>
      <c r="J27" s="518">
        <f>COUNTIF(J15,"&gt;0")+COUNTIF(J17,"&gt;0")+COUNTIF(J18,"&gt;0")+COUNTIF(J19,"&gt;0")+COUNTIF(J21,"&gt;0")+COUNTIF(J22,"&gt;0")+COUNTIF(J23,"&gt;0")+COUNTIF(J24,"&gt;0")+COUNTIF(J10:J12,"&gt;0")+COUNTIF(J7:J8,"&gt;0")+(IF(AND(SUM(CLI!L7:L8)&gt;0,SUM(CLI!L21:L34)&gt;0),2,IF(AND(SUM(CLI!L7:L8)&gt;0,SUM(CLI!L21:L34)=0),1,IF(AND(SUM(CLI!L7:L8)=0,SUM(CLI!L21:L34)&gt;0),1,IF(AND(SUM(CLI!L7:L8,CLI!L21:L34)=0,SUM(CLI!L9:L20)&gt;0),1,0)))))</f>
        <v>0</v>
      </c>
      <c r="K27" s="518">
        <f>COUNTIF(K15,"&gt;0")+COUNTIF(K17,"&gt;0")+COUNTIF(K18,"&gt;0")+COUNTIF(K19,"&gt;0")+COUNTIF(K21,"&gt;0")+COUNTIF(K22,"&gt;0")+COUNTIF(K23,"&gt;0")+COUNTIF(K24,"&gt;0")+COUNTIF(K10:K12,"&gt;0")+COUNTIF(K7:K8,"&gt;0")+(IF(AND(SUM(CLI!M7:M8)&gt;0,SUM(CLI!M21:M34)&gt;0),2,IF(AND(SUM(CLI!M7:M8)&gt;0,SUM(CLI!M21:M34)=0),1,IF(AND(SUM(CLI!M7:M8)=0,SUM(CLI!M21:M34)&gt;0),1,IF(AND(SUM(CLI!M7:M8,CLI!M21:M34)=0,SUM(CLI!M9:M20)&gt;0),1,0)))))</f>
        <v>0</v>
      </c>
      <c r="L27" s="518">
        <f>COUNTIF(L15,"&gt;0")+COUNTIF(L17,"&gt;0")+COUNTIF(L18,"&gt;0")+COUNTIF(L19,"&gt;0")+COUNTIF(L21,"&gt;0")+COUNTIF(L22,"&gt;0")+COUNTIF(L23,"&gt;0")+COUNTIF(L24,"&gt;0")+COUNTIF(L10:L12,"&gt;0")+COUNTIF(L7:L8,"&gt;0")+(IF(AND(SUM(CLI!N7:N8)&gt;0,SUM(CLI!N21:N34)&gt;0),2,IF(AND(SUM(CLI!N7:N8)&gt;0,SUM(CLI!N21:N34)=0),1,IF(AND(SUM(CLI!N7:N8)=0,SUM(CLI!N21:N34)&gt;0),1,IF(AND(SUM(CLI!N7:N8,CLI!N21:N34)=0,SUM(CLI!N9:N20)&gt;0),1,0)))))</f>
        <v>0</v>
      </c>
      <c r="M27" s="518">
        <f>COUNTIF(M15,"&gt;0")+COUNTIF(M17,"&gt;0")+COUNTIF(M18,"&gt;0")+COUNTIF(M19,"&gt;0")+COUNTIF(M21,"&gt;0")+COUNTIF(M22,"&gt;0")+COUNTIF(M23,"&gt;0")+COUNTIF(M24,"&gt;0")+COUNTIF(M10:M12,"&gt;0")+COUNTIF(M7:M8,"&gt;0")+(IF(AND(SUM(CLI!O7:O8)&gt;0,SUM(CLI!O21:O34)&gt;0),2,IF(AND(SUM(CLI!O7:O8)&gt;0,SUM(CLI!O21:O34)=0),1,IF(AND(SUM(CLI!O7:O8)=0,SUM(CLI!O21:O34)&gt;0),1,IF(AND(SUM(CLI!O7:O8,CLI!O21:O34)=0,SUM(CLI!O9:O20)&gt;0),1,0)))))</f>
        <v>0</v>
      </c>
      <c r="N27" s="518">
        <f>COUNTIF(N15,"&gt;0")+COUNTIF(N17,"&gt;0")+COUNTIF(N18,"&gt;0")+COUNTIF(N19,"&gt;0")+COUNTIF(N21,"&gt;0")+COUNTIF(N22,"&gt;0")+COUNTIF(N23,"&gt;0")+COUNTIF(N24,"&gt;0")+COUNTIF(N10:N12,"&gt;0")+COUNTIF(N7:N8,"&gt;0")+(IF(AND(SUM(CLI!P7:P8)&gt;0,SUM(CLI!P21:P34)&gt;0),2,IF(AND(SUM(CLI!P7:P8)&gt;0,SUM(CLI!P21:P34)=0),1,IF(AND(SUM(CLI!P7:P8)=0,SUM(CLI!P21:P34)&gt;0),1,IF(AND(SUM(CLI!P7:P8,CLI!P21:P34)=0,SUM(CLI!P9:P20)&gt;0),1,0)))))</f>
        <v>0</v>
      </c>
      <c r="O27" s="518">
        <f>COUNTIF(O15,"&gt;0")+COUNTIF(O17,"&gt;0")+COUNTIF(O18,"&gt;0")+COUNTIF(O19,"&gt;0")+COUNTIF(O21,"&gt;0")+COUNTIF(O22,"&gt;0")+COUNTIF(O23,"&gt;0")+COUNTIF(O24,"&gt;0")+COUNTIF(O10:O12,"&gt;0")+COUNTIF(O7:O8,"&gt;0")+(IF(AND(SUM(CLI!Q7:Q8)&gt;0,SUM(CLI!Q21:Q34)&gt;0),2,IF(AND(SUM(CLI!Q7:Q8)&gt;0,SUM(CLI!Q21:Q34)=0),1,IF(AND(SUM(CLI!Q7:Q8)=0,SUM(CLI!Q21:Q34)&gt;0),1,IF(AND(SUM(CLI!Q7:Q8,CLI!Q21:Q34)=0,SUM(CLI!Q9:Q20)&gt;0),1,0)))))</f>
        <v>0</v>
      </c>
      <c r="P27" s="518">
        <f>COUNTIF(P15,"&gt;0")+COUNTIF(P17,"&gt;0")+COUNTIF(P18,"&gt;0")+COUNTIF(P19,"&gt;0")+COUNTIF(P21,"&gt;0")+COUNTIF(P22,"&gt;0")+COUNTIF(P23,"&gt;0")+COUNTIF(P24,"&gt;0")+COUNTIF(P10:P12,"&gt;0")+COUNTIF(P7:P8,"&gt;0")+(IF(AND(SUM(CLI!R7:R8)&gt;0,SUM(CLI!R21:R34)&gt;0),2,IF(AND(SUM(CLI!R7:R8)&gt;0,SUM(CLI!R21:R34)=0),1,IF(AND(SUM(CLI!R7:R8)=0,SUM(CLI!R21:R34)&gt;0),1,IF(AND(SUM(CLI!R7:R8,CLI!R21:R34)=0,SUM(CLI!R9:R20)&gt;0),1,0)))))</f>
        <v>0</v>
      </c>
      <c r="Q27" s="518">
        <f>COUNTIF(Q15,"&gt;0")+COUNTIF(Q17,"&gt;0")+COUNTIF(Q18,"&gt;0")+COUNTIF(Q19,"&gt;0")+COUNTIF(Q21,"&gt;0")+COUNTIF(Q22,"&gt;0")+COUNTIF(Q23,"&gt;0")+COUNTIF(Q24,"&gt;0")+COUNTIF(Q10:Q12,"&gt;0")+COUNTIF(Q7:Q8,"&gt;0")+(IF(AND(SUM(CLI!S7:S8)&gt;0,SUM(CLI!S21:S34)&gt;0),2,IF(AND(SUM(CLI!S7:S8)&gt;0,SUM(CLI!S21:S34)=0),1,IF(AND(SUM(CLI!S7:S8)=0,SUM(CLI!S21:S34)&gt;0),1,IF(AND(SUM(CLI!S7:S8,CLI!S21:S34)=0,SUM(CLI!S9:S20)&gt;0),1,0)))))</f>
        <v>0</v>
      </c>
      <c r="R27" s="518">
        <f>COUNTIF(R15,"&gt;0")+COUNTIF(R17,"&gt;0")+COUNTIF(R18,"&gt;0")+COUNTIF(R19,"&gt;0")+COUNTIF(R21,"&gt;0")+COUNTIF(R22,"&gt;0")+COUNTIF(R23,"&gt;0")+COUNTIF(R24,"&gt;0")+COUNTIF(R10:R12,"&gt;0")+COUNTIF(R7:R8,"&gt;0")+(IF(AND(SUM(CLI!T7:T8)&gt;0,SUM(CLI!T21:T34)&gt;0),2,IF(AND(SUM(CLI!T7:T8)&gt;0,SUM(CLI!T21:T34)=0),1,IF(AND(SUM(CLI!T7:T8)=0,SUM(CLI!T21:T34)&gt;0),1,IF(AND(SUM(CLI!T7:T8,CLI!T21:T34)=0,SUM(CLI!T9:T20)&gt;0),1,0)))))</f>
        <v>0</v>
      </c>
      <c r="S27" s="518">
        <f>COUNTIF(S15,"&gt;0")+COUNTIF(S17,"&gt;0")+COUNTIF(S18,"&gt;0")+COUNTIF(S19,"&gt;0")+COUNTIF(S21,"&gt;0")+COUNTIF(S22,"&gt;0")+COUNTIF(S23,"&gt;0")+COUNTIF(S24,"&gt;0")+COUNTIF(S10:S12,"&gt;0")+COUNTIF(S7:S8,"&gt;0")+(IF(AND(SUM(CLI!U7:U8)&gt;0,SUM(CLI!U21:U34)&gt;0),2,IF(AND(SUM(CLI!U7:U8)&gt;0,SUM(CLI!U21:U34)=0),1,IF(AND(SUM(CLI!U7:U8)=0,SUM(CLI!U21:U34)&gt;0),1,IF(AND(SUM(CLI!U7:U8,CLI!U21:U34)=0,SUM(CLI!U9:U20)&gt;0),1,0)))))</f>
        <v>0</v>
      </c>
      <c r="T27" s="518">
        <f>COUNTIF(T15,"&gt;0")+COUNTIF(T17,"&gt;0")+COUNTIF(T18,"&gt;0")+COUNTIF(T19,"&gt;0")+COUNTIF(T21,"&gt;0")+COUNTIF(T22,"&gt;0")+COUNTIF(T23,"&gt;0")+COUNTIF(T24,"&gt;0")+COUNTIF(T10:T12,"&gt;0")+COUNTIF(T7:T8,"&gt;0")+(IF(AND(SUM(CLI!V7:V8)&gt;0,SUM(CLI!V21:V34)&gt;0),2,IF(AND(SUM(CLI!V7:V8)&gt;0,SUM(CLI!V21:V34)=0),1,IF(AND(SUM(CLI!V7:V8)=0,SUM(CLI!V21:V34)&gt;0),1,IF(AND(SUM(CLI!V7:V8,CLI!V21:V34)=0,SUM(CLI!V9:V20)&gt;0),1,0)))))</f>
        <v>0</v>
      </c>
      <c r="U27" s="518">
        <f>COUNTIF(U15,"&gt;0")+COUNTIF(U17,"&gt;0")+COUNTIF(U18,"&gt;0")+COUNTIF(U19,"&gt;0")+COUNTIF(U21,"&gt;0")+COUNTIF(U22,"&gt;0")+COUNTIF(U23,"&gt;0")+COUNTIF(U24,"&gt;0")+COUNTIF(U10:U12,"&gt;0")+COUNTIF(U7:U8,"&gt;0")+(IF(AND(SUM(CLI!W7:W8)&gt;0,SUM(CLI!W21:W34)&gt;0),2,IF(AND(SUM(CLI!W7:W8)&gt;0,SUM(CLI!W21:W34)=0),1,IF(AND(SUM(CLI!W7:W8)=0,SUM(CLI!W21:W34)&gt;0),1,IF(AND(SUM(CLI!W7:W8,CLI!W21:W34)=0,SUM(CLI!W9:W20)&gt;0),1,0)))))</f>
        <v>0</v>
      </c>
      <c r="V27" s="518">
        <f>COUNTIF(V15,"&gt;0")+COUNTIF(V17,"&gt;0")+COUNTIF(V18,"&gt;0")+COUNTIF(V19,"&gt;0")+COUNTIF(V21,"&gt;0")+COUNTIF(V22,"&gt;0")+COUNTIF(V23,"&gt;0")+COUNTIF(V24,"&gt;0")+COUNTIF(V10:V12,"&gt;0")+COUNTIF(V7:V8,"&gt;0")+(IF(AND(SUM(CLI!X7:X8)&gt;0,SUM(CLI!X21:X34)&gt;0),2,IF(AND(SUM(CLI!X7:X8)&gt;0,SUM(CLI!X21:X34)=0),1,IF(AND(SUM(CLI!X7:X8)=0,SUM(CLI!X21:X34)&gt;0),1,IF(AND(SUM(CLI!X7:X8,CLI!X21:X34)=0,SUM(CLI!X9:X20)&gt;0),1,0)))))</f>
        <v>0</v>
      </c>
      <c r="W27" s="518">
        <f>COUNTIF(W15,"&gt;0")+COUNTIF(W17,"&gt;0")+COUNTIF(W18,"&gt;0")+COUNTIF(W19,"&gt;0")+COUNTIF(W21,"&gt;0")+COUNTIF(W22,"&gt;0")+COUNTIF(W23,"&gt;0")+COUNTIF(W24,"&gt;0")+COUNTIF(W10:W12,"&gt;0")+COUNTIF(W7:W8,"&gt;0")+(IF(AND(SUM(CLI!Y7:Y8)&gt;0,SUM(CLI!Y21:Y34)&gt;0),2,IF(AND(SUM(CLI!Y7:Y8)&gt;0,SUM(CLI!Y21:Y34)=0),1,IF(AND(SUM(CLI!Y7:Y8)=0,SUM(CLI!Y21:Y34)&gt;0),1,IF(AND(SUM(CLI!Y7:Y8,CLI!Y21:Y34)=0,SUM(CLI!Y9:Y20)&gt;0),1,0)))))</f>
        <v>0</v>
      </c>
      <c r="X27" s="518">
        <f>COUNTIF(X15,"&gt;0")+COUNTIF(X17,"&gt;0")+COUNTIF(X18,"&gt;0")+COUNTIF(X19,"&gt;0")+COUNTIF(X21,"&gt;0")+COUNTIF(X22,"&gt;0")+COUNTIF(X23,"&gt;0")+COUNTIF(X24,"&gt;0")+COUNTIF(X10:X12,"&gt;0")+COUNTIF(X7:X8,"&gt;0")+(IF(AND(SUM(CLI!Z7:Z8)&gt;0,SUM(CLI!Z21:Z34)&gt;0),2,IF(AND(SUM(CLI!Z7:Z8)&gt;0,SUM(CLI!Z21:Z34)=0),1,IF(AND(SUM(CLI!Z7:Z8)=0,SUM(CLI!Z21:Z34)&gt;0),1,IF(AND(SUM(CLI!Z7:Z8,CLI!Z21:Z34)=0,SUM(CLI!Z9:Z20)&gt;0),1,0)))))</f>
        <v>0</v>
      </c>
    </row>
    <row r="28" spans="2:24" s="1" customFormat="1" ht="12.75" thickBot="1" x14ac:dyDescent="0.25">
      <c r="B28" s="367"/>
      <c r="D28" s="368" t="s">
        <v>1215</v>
      </c>
      <c r="E28" s="374" t="str">
        <f>IF(E25=0,"",IF(AND(E26&gt;2,E15&gt;0),"SI","NO"))</f>
        <v>SI</v>
      </c>
      <c r="F28" s="374" t="str">
        <f t="shared" ref="F28:X28" si="7">IF(F25=0,"",IF(AND(F26&gt;2,F15&gt;0),"SI","NO"))</f>
        <v/>
      </c>
      <c r="G28" s="374" t="str">
        <f t="shared" si="7"/>
        <v/>
      </c>
      <c r="H28" s="374" t="str">
        <f t="shared" si="7"/>
        <v/>
      </c>
      <c r="I28" s="374" t="str">
        <f t="shared" si="7"/>
        <v/>
      </c>
      <c r="J28" s="374" t="str">
        <f t="shared" si="7"/>
        <v/>
      </c>
      <c r="K28" s="374" t="str">
        <f t="shared" si="7"/>
        <v/>
      </c>
      <c r="L28" s="374" t="str">
        <f t="shared" si="7"/>
        <v/>
      </c>
      <c r="M28" s="374" t="str">
        <f t="shared" si="7"/>
        <v/>
      </c>
      <c r="N28" s="374" t="str">
        <f t="shared" si="7"/>
        <v/>
      </c>
      <c r="O28" s="374" t="str">
        <f t="shared" si="7"/>
        <v/>
      </c>
      <c r="P28" s="374" t="str">
        <f t="shared" si="7"/>
        <v/>
      </c>
      <c r="Q28" s="374" t="str">
        <f t="shared" si="7"/>
        <v/>
      </c>
      <c r="R28" s="374" t="str">
        <f t="shared" si="7"/>
        <v/>
      </c>
      <c r="S28" s="374" t="str">
        <f t="shared" si="7"/>
        <v/>
      </c>
      <c r="T28" s="374" t="str">
        <f t="shared" si="7"/>
        <v/>
      </c>
      <c r="U28" s="374" t="str">
        <f t="shared" si="7"/>
        <v/>
      </c>
      <c r="V28" s="374" t="str">
        <f t="shared" si="7"/>
        <v/>
      </c>
      <c r="W28" s="374" t="str">
        <f t="shared" si="7"/>
        <v/>
      </c>
      <c r="X28" s="374" t="str">
        <f t="shared" si="7"/>
        <v/>
      </c>
    </row>
    <row r="29" spans="2:24" s="1" customFormat="1" ht="5.0999999999999996" customHeight="1" x14ac:dyDescent="0.2"/>
    <row r="30" spans="2:24" s="1" customFormat="1" ht="24.75" thickBot="1" x14ac:dyDescent="0.25">
      <c r="D30" s="368" t="s">
        <v>1156</v>
      </c>
      <c r="E30" s="944">
        <f>SUM($E$25:$X$25)</f>
        <v>6409647.6423333334</v>
      </c>
      <c r="F30" s="945"/>
      <c r="G30" s="945"/>
    </row>
    <row r="31" spans="2:24" x14ac:dyDescent="0.25">
      <c r="E31" s="553"/>
    </row>
  </sheetData>
  <mergeCells count="1">
    <mergeCell ref="E30:G3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27"/>
  <dimension ref="B1:N743"/>
  <sheetViews>
    <sheetView topLeftCell="G1" zoomScale="120" zoomScaleNormal="120" workbookViewId="0">
      <selection activeCell="L4" sqref="L4"/>
    </sheetView>
  </sheetViews>
  <sheetFormatPr defaultColWidth="8.7109375" defaultRowHeight="15" x14ac:dyDescent="0.25"/>
  <cols>
    <col min="1" max="1" width="1.85546875" style="644" customWidth="1"/>
    <col min="2" max="2" width="2.5703125" style="748" customWidth="1"/>
    <col min="3" max="3" width="24.5703125" style="657" customWidth="1"/>
    <col min="4" max="4" width="12.28515625" style="659" bestFit="1" customWidth="1"/>
    <col min="5" max="5" width="26.7109375" style="754" customWidth="1"/>
    <col min="6" max="6" width="15" style="657" customWidth="1"/>
    <col min="7" max="7" width="30.140625" style="657" customWidth="1"/>
    <col min="8" max="8" width="16.140625" style="657" bestFit="1" customWidth="1"/>
    <col min="9" max="9" width="15.85546875" style="656" bestFit="1" customWidth="1"/>
    <col min="10" max="10" width="12.7109375" style="656" bestFit="1" customWidth="1"/>
    <col min="11" max="11" width="7.28515625" style="656" bestFit="1" customWidth="1"/>
    <col min="12" max="12" width="29" style="656" customWidth="1"/>
    <col min="13" max="13" width="3.85546875" style="644" hidden="1" customWidth="1"/>
    <col min="15" max="16384" width="8.7109375" style="644"/>
  </cols>
  <sheetData>
    <row r="1" spans="2:13" x14ac:dyDescent="0.25">
      <c r="B1" s="744"/>
      <c r="C1" s="642"/>
      <c r="D1" s="643"/>
      <c r="E1" s="749"/>
      <c r="F1" s="642"/>
      <c r="G1" s="642"/>
      <c r="H1" s="642"/>
      <c r="I1" s="641"/>
      <c r="J1" s="641"/>
      <c r="K1" s="641"/>
      <c r="L1" s="641"/>
    </row>
    <row r="2" spans="2:13" x14ac:dyDescent="0.25">
      <c r="B2" s="744"/>
      <c r="C2" s="642"/>
      <c r="D2" s="643"/>
      <c r="E2" s="749"/>
      <c r="F2" s="642"/>
      <c r="G2" s="642"/>
      <c r="H2" s="642"/>
      <c r="I2" s="645"/>
      <c r="J2" s="641"/>
      <c r="K2" s="641"/>
      <c r="L2" s="641"/>
    </row>
    <row r="3" spans="2:13" customFormat="1" ht="40.5" customHeight="1" x14ac:dyDescent="0.25">
      <c r="B3" s="731" t="s">
        <v>1208</v>
      </c>
      <c r="C3" s="732" t="s">
        <v>1170</v>
      </c>
      <c r="D3" s="733" t="s">
        <v>1258</v>
      </c>
      <c r="E3" s="733" t="s">
        <v>1254</v>
      </c>
      <c r="F3" s="734" t="s">
        <v>1209</v>
      </c>
      <c r="G3" s="734" t="s">
        <v>1210</v>
      </c>
      <c r="H3" s="734" t="s">
        <v>1211</v>
      </c>
      <c r="I3" s="734" t="s">
        <v>1212</v>
      </c>
      <c r="J3" s="734" t="s">
        <v>1213</v>
      </c>
      <c r="K3" s="734" t="s">
        <v>1214</v>
      </c>
      <c r="L3" s="735" t="s">
        <v>1275</v>
      </c>
    </row>
    <row r="4" spans="2:13" ht="20.100000000000001" customHeight="1" x14ac:dyDescent="0.25">
      <c r="B4" s="736">
        <v>1</v>
      </c>
      <c r="C4" s="737" t="s">
        <v>1362</v>
      </c>
      <c r="D4" s="738">
        <v>26290</v>
      </c>
      <c r="E4" s="739" t="str">
        <f>IF(D4="","",IF(D4&lt;5000,"piccolo immobile","Grande Immobile"))</f>
        <v>Grande Immobile</v>
      </c>
      <c r="F4" s="740" t="s">
        <v>1359</v>
      </c>
      <c r="G4" s="740" t="s">
        <v>1360</v>
      </c>
      <c r="H4" s="740" t="s">
        <v>1360</v>
      </c>
      <c r="I4" s="740" t="s">
        <v>163</v>
      </c>
      <c r="J4" s="740" t="s">
        <v>1361</v>
      </c>
      <c r="K4" s="740">
        <v>21</v>
      </c>
      <c r="L4" s="741" t="s">
        <v>1274</v>
      </c>
      <c r="M4" s="646" t="s">
        <v>163</v>
      </c>
    </row>
    <row r="5" spans="2:13" ht="20.100000000000001" customHeight="1" x14ac:dyDescent="0.25">
      <c r="B5" s="728">
        <v>2</v>
      </c>
      <c r="C5" s="647"/>
      <c r="D5" s="648"/>
      <c r="E5" s="660" t="str">
        <f t="shared" ref="E5:E23" si="0">IF(D5="","",IF(D5&lt;5000,"piccolo immobile","Grande Immobile"))</f>
        <v/>
      </c>
      <c r="F5" s="649"/>
      <c r="G5" s="649"/>
      <c r="H5" s="649"/>
      <c r="I5" s="649"/>
      <c r="J5" s="649"/>
      <c r="K5" s="649"/>
      <c r="L5" s="742"/>
      <c r="M5" s="646" t="s">
        <v>1255</v>
      </c>
    </row>
    <row r="6" spans="2:13" ht="20.100000000000001" customHeight="1" x14ac:dyDescent="0.25">
      <c r="B6" s="728">
        <v>3</v>
      </c>
      <c r="C6" s="647"/>
      <c r="D6" s="648"/>
      <c r="E6" s="660" t="str">
        <f t="shared" si="0"/>
        <v/>
      </c>
      <c r="F6" s="649"/>
      <c r="G6" s="649"/>
      <c r="H6" s="649"/>
      <c r="I6" s="649"/>
      <c r="J6" s="649"/>
      <c r="K6" s="649"/>
      <c r="L6" s="742"/>
      <c r="M6" s="646" t="s">
        <v>1274</v>
      </c>
    </row>
    <row r="7" spans="2:13" ht="20.100000000000001" customHeight="1" x14ac:dyDescent="0.25">
      <c r="B7" s="728">
        <v>4</v>
      </c>
      <c r="C7" s="647"/>
      <c r="D7" s="648"/>
      <c r="E7" s="660" t="str">
        <f t="shared" si="0"/>
        <v/>
      </c>
      <c r="F7" s="649"/>
      <c r="G7" s="649"/>
      <c r="H7" s="649"/>
      <c r="I7" s="649"/>
      <c r="J7" s="649"/>
      <c r="K7" s="649"/>
      <c r="L7" s="742"/>
      <c r="M7" s="646" t="s">
        <v>1272</v>
      </c>
    </row>
    <row r="8" spans="2:13" ht="20.100000000000001" customHeight="1" x14ac:dyDescent="0.25">
      <c r="B8" s="728">
        <v>5</v>
      </c>
      <c r="C8" s="647"/>
      <c r="D8" s="648"/>
      <c r="E8" s="660" t="str">
        <f t="shared" si="0"/>
        <v/>
      </c>
      <c r="F8" s="649"/>
      <c r="G8" s="649"/>
      <c r="H8" s="649"/>
      <c r="I8" s="649"/>
      <c r="J8" s="649"/>
      <c r="K8" s="649"/>
      <c r="L8" s="742"/>
      <c r="M8" s="646" t="s">
        <v>1273</v>
      </c>
    </row>
    <row r="9" spans="2:13" ht="20.100000000000001" customHeight="1" x14ac:dyDescent="0.25">
      <c r="B9" s="728">
        <v>6</v>
      </c>
      <c r="C9" s="647"/>
      <c r="D9" s="648"/>
      <c r="E9" s="660" t="str">
        <f t="shared" si="0"/>
        <v/>
      </c>
      <c r="F9" s="649"/>
      <c r="G9" s="649"/>
      <c r="H9" s="649"/>
      <c r="I9" s="649"/>
      <c r="J9" s="649"/>
      <c r="K9" s="649"/>
      <c r="L9" s="742"/>
    </row>
    <row r="10" spans="2:13" ht="20.100000000000001" customHeight="1" x14ac:dyDescent="0.25">
      <c r="B10" s="728">
        <v>7</v>
      </c>
      <c r="C10" s="647"/>
      <c r="D10" s="649"/>
      <c r="E10" s="661" t="str">
        <f t="shared" si="0"/>
        <v/>
      </c>
      <c r="F10" s="649"/>
      <c r="G10" s="649"/>
      <c r="H10" s="649"/>
      <c r="I10" s="649"/>
      <c r="J10" s="649"/>
      <c r="K10" s="649"/>
      <c r="L10" s="742"/>
    </row>
    <row r="11" spans="2:13" ht="20.100000000000001" customHeight="1" x14ac:dyDescent="0.25">
      <c r="B11" s="728">
        <v>8</v>
      </c>
      <c r="C11" s="647"/>
      <c r="D11" s="649"/>
      <c r="E11" s="661" t="str">
        <f t="shared" si="0"/>
        <v/>
      </c>
      <c r="F11" s="649"/>
      <c r="G11" s="649"/>
      <c r="H11" s="649"/>
      <c r="I11" s="649"/>
      <c r="J11" s="649"/>
      <c r="K11" s="649"/>
      <c r="L11" s="742"/>
    </row>
    <row r="12" spans="2:13" ht="20.100000000000001" customHeight="1" x14ac:dyDescent="0.25">
      <c r="B12" s="728">
        <v>9</v>
      </c>
      <c r="C12" s="647"/>
      <c r="D12" s="649"/>
      <c r="E12" s="661" t="str">
        <f t="shared" si="0"/>
        <v/>
      </c>
      <c r="F12" s="649"/>
      <c r="G12" s="649"/>
      <c r="H12" s="649"/>
      <c r="I12" s="649"/>
      <c r="J12" s="649"/>
      <c r="K12" s="649"/>
      <c r="L12" s="742"/>
    </row>
    <row r="13" spans="2:13" ht="20.100000000000001" customHeight="1" x14ac:dyDescent="0.25">
      <c r="B13" s="728">
        <v>10</v>
      </c>
      <c r="C13" s="647"/>
      <c r="D13" s="649"/>
      <c r="E13" s="661" t="str">
        <f t="shared" si="0"/>
        <v/>
      </c>
      <c r="F13" s="650"/>
      <c r="G13" s="651"/>
      <c r="H13" s="649"/>
      <c r="I13" s="649"/>
      <c r="J13" s="649"/>
      <c r="K13" s="649"/>
      <c r="L13" s="742"/>
    </row>
    <row r="14" spans="2:13" ht="20.100000000000001" customHeight="1" x14ac:dyDescent="0.25">
      <c r="B14" s="728">
        <v>11</v>
      </c>
      <c r="C14" s="647"/>
      <c r="D14" s="649"/>
      <c r="E14" s="661" t="str">
        <f t="shared" si="0"/>
        <v/>
      </c>
      <c r="F14" s="651"/>
      <c r="G14" s="651"/>
      <c r="H14" s="649"/>
      <c r="I14" s="649"/>
      <c r="J14" s="649"/>
      <c r="K14" s="649"/>
      <c r="L14" s="742"/>
    </row>
    <row r="15" spans="2:13" ht="20.100000000000001" customHeight="1" x14ac:dyDescent="0.25">
      <c r="B15" s="728">
        <v>12</v>
      </c>
      <c r="C15" s="647"/>
      <c r="D15" s="649"/>
      <c r="E15" s="661" t="str">
        <f t="shared" si="0"/>
        <v/>
      </c>
      <c r="F15" s="651"/>
      <c r="G15" s="651"/>
      <c r="H15" s="649"/>
      <c r="I15" s="649"/>
      <c r="J15" s="649"/>
      <c r="K15" s="649"/>
      <c r="L15" s="742"/>
    </row>
    <row r="16" spans="2:13" ht="20.100000000000001" customHeight="1" x14ac:dyDescent="0.25">
      <c r="B16" s="728">
        <v>13</v>
      </c>
      <c r="C16" s="647"/>
      <c r="D16" s="649"/>
      <c r="E16" s="661" t="str">
        <f t="shared" si="0"/>
        <v/>
      </c>
      <c r="F16" s="649"/>
      <c r="G16" s="651"/>
      <c r="H16" s="649"/>
      <c r="I16" s="649"/>
      <c r="J16" s="649"/>
      <c r="K16" s="649"/>
      <c r="L16" s="742"/>
    </row>
    <row r="17" spans="2:12" ht="20.100000000000001" customHeight="1" x14ac:dyDescent="0.25">
      <c r="B17" s="728">
        <v>14</v>
      </c>
      <c r="C17" s="647"/>
      <c r="D17" s="649"/>
      <c r="E17" s="661" t="str">
        <f t="shared" si="0"/>
        <v/>
      </c>
      <c r="F17" s="649"/>
      <c r="G17" s="649"/>
      <c r="H17" s="649"/>
      <c r="I17" s="649"/>
      <c r="J17" s="649"/>
      <c r="K17" s="649"/>
      <c r="L17" s="742"/>
    </row>
    <row r="18" spans="2:12" ht="20.100000000000001" customHeight="1" x14ac:dyDescent="0.25">
      <c r="B18" s="728">
        <v>15</v>
      </c>
      <c r="C18" s="647"/>
      <c r="D18" s="649"/>
      <c r="E18" s="661" t="str">
        <f t="shared" si="0"/>
        <v/>
      </c>
      <c r="F18" s="649"/>
      <c r="G18" s="649"/>
      <c r="H18" s="649"/>
      <c r="I18" s="649"/>
      <c r="J18" s="649"/>
      <c r="K18" s="649"/>
      <c r="L18" s="742"/>
    </row>
    <row r="19" spans="2:12" ht="20.100000000000001" customHeight="1" x14ac:dyDescent="0.25">
      <c r="B19" s="728">
        <v>16</v>
      </c>
      <c r="C19" s="647"/>
      <c r="D19" s="649"/>
      <c r="E19" s="661" t="str">
        <f t="shared" si="0"/>
        <v/>
      </c>
      <c r="F19" s="649"/>
      <c r="G19" s="649"/>
      <c r="H19" s="649"/>
      <c r="I19" s="649"/>
      <c r="J19" s="649"/>
      <c r="K19" s="649"/>
      <c r="L19" s="742"/>
    </row>
    <row r="20" spans="2:12" ht="20.100000000000001" customHeight="1" x14ac:dyDescent="0.25">
      <c r="B20" s="728">
        <v>17</v>
      </c>
      <c r="C20" s="647"/>
      <c r="D20" s="649"/>
      <c r="E20" s="661" t="str">
        <f t="shared" si="0"/>
        <v/>
      </c>
      <c r="F20" s="649"/>
      <c r="G20" s="649"/>
      <c r="H20" s="649"/>
      <c r="I20" s="649"/>
      <c r="J20" s="649"/>
      <c r="K20" s="649"/>
      <c r="L20" s="742"/>
    </row>
    <row r="21" spans="2:12" ht="20.100000000000001" customHeight="1" x14ac:dyDescent="0.25">
      <c r="B21" s="728">
        <v>18</v>
      </c>
      <c r="C21" s="647"/>
      <c r="D21" s="649"/>
      <c r="E21" s="661" t="str">
        <f t="shared" si="0"/>
        <v/>
      </c>
      <c r="F21" s="649"/>
      <c r="G21" s="649"/>
      <c r="H21" s="649"/>
      <c r="I21" s="649"/>
      <c r="J21" s="649"/>
      <c r="K21" s="649"/>
      <c r="L21" s="742"/>
    </row>
    <row r="22" spans="2:12" ht="20.100000000000001" customHeight="1" x14ac:dyDescent="0.25">
      <c r="B22" s="729">
        <v>19</v>
      </c>
      <c r="C22" s="647"/>
      <c r="D22" s="649"/>
      <c r="E22" s="661" t="str">
        <f t="shared" si="0"/>
        <v/>
      </c>
      <c r="F22" s="649"/>
      <c r="G22" s="649"/>
      <c r="H22" s="649"/>
      <c r="I22" s="649"/>
      <c r="J22" s="649"/>
      <c r="K22" s="649"/>
      <c r="L22" s="742"/>
    </row>
    <row r="23" spans="2:12" ht="20.100000000000001" customHeight="1" x14ac:dyDescent="0.25">
      <c r="B23" s="730">
        <v>20</v>
      </c>
      <c r="C23" s="725"/>
      <c r="D23" s="726"/>
      <c r="E23" s="727" t="str">
        <f t="shared" si="0"/>
        <v/>
      </c>
      <c r="F23" s="726"/>
      <c r="G23" s="726"/>
      <c r="H23" s="726"/>
      <c r="I23" s="726"/>
      <c r="J23" s="726"/>
      <c r="K23" s="726"/>
      <c r="L23" s="743"/>
    </row>
    <row r="24" spans="2:12" x14ac:dyDescent="0.25">
      <c r="B24" s="745"/>
      <c r="C24" s="723"/>
      <c r="D24" s="723"/>
      <c r="E24" s="750"/>
      <c r="F24" s="723"/>
      <c r="G24" s="723"/>
      <c r="H24" s="723"/>
      <c r="I24" s="724"/>
      <c r="J24" s="723"/>
      <c r="K24" s="724"/>
      <c r="L24" s="724"/>
    </row>
    <row r="25" spans="2:12" x14ac:dyDescent="0.25">
      <c r="B25" s="746"/>
      <c r="C25" s="652"/>
      <c r="D25" s="652"/>
      <c r="E25" s="751"/>
      <c r="F25" s="652"/>
      <c r="G25" s="652"/>
      <c r="H25" s="652"/>
      <c r="I25" s="653"/>
      <c r="J25" s="652"/>
      <c r="K25" s="653"/>
      <c r="L25" s="653"/>
    </row>
    <row r="26" spans="2:12" x14ac:dyDescent="0.25">
      <c r="B26" s="746"/>
      <c r="C26" s="652"/>
      <c r="D26" s="652"/>
      <c r="E26" s="751"/>
      <c r="F26" s="652"/>
      <c r="G26" s="652"/>
      <c r="H26" s="652"/>
      <c r="I26" s="653"/>
      <c r="J26" s="652"/>
      <c r="K26" s="653"/>
      <c r="L26" s="653"/>
    </row>
    <row r="27" spans="2:12" x14ac:dyDescent="0.25">
      <c r="B27" s="746"/>
      <c r="C27" s="652"/>
      <c r="D27" s="652"/>
      <c r="E27" s="751"/>
      <c r="F27" s="652"/>
      <c r="G27" s="652"/>
      <c r="H27" s="652"/>
      <c r="I27" s="653"/>
      <c r="J27" s="652"/>
      <c r="K27" s="653"/>
      <c r="L27" s="653"/>
    </row>
    <row r="28" spans="2:12" x14ac:dyDescent="0.25">
      <c r="B28" s="746"/>
      <c r="C28" s="652"/>
      <c r="D28" s="652"/>
      <c r="E28" s="751"/>
      <c r="F28" s="652"/>
      <c r="G28" s="652"/>
      <c r="H28" s="652"/>
      <c r="I28" s="653"/>
      <c r="J28" s="652"/>
      <c r="K28" s="653"/>
      <c r="L28" s="653"/>
    </row>
    <row r="29" spans="2:12" x14ac:dyDescent="0.25">
      <c r="B29" s="746"/>
      <c r="C29" s="652"/>
      <c r="D29" s="652"/>
      <c r="E29" s="751"/>
      <c r="F29" s="652"/>
      <c r="G29" s="652"/>
      <c r="H29" s="652"/>
      <c r="I29" s="653"/>
      <c r="J29" s="652"/>
      <c r="K29" s="653"/>
      <c r="L29" s="653"/>
    </row>
    <row r="30" spans="2:12" x14ac:dyDescent="0.25">
      <c r="B30" s="746"/>
      <c r="C30" s="652"/>
      <c r="D30" s="652"/>
      <c r="E30" s="751"/>
      <c r="F30" s="652"/>
      <c r="G30" s="652"/>
      <c r="H30" s="652"/>
      <c r="I30" s="653"/>
      <c r="J30" s="652"/>
      <c r="K30" s="653"/>
      <c r="L30" s="653"/>
    </row>
    <row r="31" spans="2:12" x14ac:dyDescent="0.25">
      <c r="B31" s="746"/>
      <c r="C31" s="652"/>
      <c r="D31" s="652"/>
      <c r="E31" s="751"/>
      <c r="F31" s="652"/>
      <c r="G31" s="652"/>
      <c r="H31" s="652"/>
      <c r="I31" s="653"/>
      <c r="J31" s="652"/>
      <c r="K31" s="653"/>
      <c r="L31" s="653"/>
    </row>
    <row r="32" spans="2:12" x14ac:dyDescent="0.25">
      <c r="B32" s="746"/>
      <c r="C32" s="652"/>
      <c r="D32" s="652"/>
      <c r="E32" s="751"/>
      <c r="F32" s="652"/>
      <c r="G32" s="652"/>
      <c r="H32" s="652"/>
      <c r="I32" s="653"/>
      <c r="J32" s="652"/>
      <c r="K32" s="653"/>
      <c r="L32" s="653"/>
    </row>
    <row r="33" spans="2:12" x14ac:dyDescent="0.25">
      <c r="B33" s="746"/>
      <c r="C33" s="652"/>
      <c r="D33" s="652"/>
      <c r="E33" s="751"/>
      <c r="F33" s="652"/>
      <c r="G33" s="652"/>
      <c r="H33" s="652"/>
      <c r="I33" s="653"/>
      <c r="J33" s="652"/>
      <c r="K33" s="653"/>
      <c r="L33" s="653"/>
    </row>
    <row r="34" spans="2:12" x14ac:dyDescent="0.25">
      <c r="B34" s="746"/>
      <c r="C34" s="652"/>
      <c r="D34" s="652"/>
      <c r="E34" s="751"/>
      <c r="F34" s="652"/>
      <c r="G34" s="652"/>
      <c r="H34" s="652"/>
      <c r="I34" s="653"/>
      <c r="J34" s="652"/>
      <c r="K34" s="653"/>
      <c r="L34" s="653"/>
    </row>
    <row r="35" spans="2:12" x14ac:dyDescent="0.25">
      <c r="B35" s="746"/>
      <c r="C35" s="652"/>
      <c r="D35" s="652"/>
      <c r="E35" s="751"/>
      <c r="F35" s="652"/>
      <c r="G35" s="652"/>
      <c r="H35" s="652"/>
      <c r="I35" s="653"/>
      <c r="J35" s="652"/>
      <c r="K35" s="653"/>
      <c r="L35" s="653"/>
    </row>
    <row r="36" spans="2:12" x14ac:dyDescent="0.25">
      <c r="B36" s="746"/>
      <c r="C36" s="652"/>
      <c r="D36" s="652"/>
      <c r="E36" s="751"/>
      <c r="F36" s="652"/>
      <c r="G36" s="652"/>
      <c r="H36" s="652"/>
      <c r="I36" s="653"/>
      <c r="J36" s="652"/>
      <c r="K36" s="653"/>
      <c r="L36" s="653"/>
    </row>
    <row r="37" spans="2:12" x14ac:dyDescent="0.25">
      <c r="B37" s="746"/>
      <c r="C37" s="652"/>
      <c r="D37" s="652"/>
      <c r="E37" s="751"/>
      <c r="F37" s="652"/>
      <c r="G37" s="652"/>
      <c r="H37" s="652"/>
      <c r="I37" s="653"/>
      <c r="J37" s="652"/>
      <c r="K37" s="653"/>
      <c r="L37" s="653"/>
    </row>
    <row r="38" spans="2:12" x14ac:dyDescent="0.25">
      <c r="B38" s="746"/>
      <c r="C38" s="652"/>
      <c r="D38" s="652"/>
      <c r="E38" s="751"/>
      <c r="F38" s="652"/>
      <c r="G38" s="652"/>
      <c r="H38" s="652"/>
      <c r="I38" s="653"/>
      <c r="J38" s="652"/>
      <c r="K38" s="653"/>
      <c r="L38" s="653"/>
    </row>
    <row r="39" spans="2:12" x14ac:dyDescent="0.25">
      <c r="B39" s="746"/>
      <c r="C39" s="652"/>
      <c r="D39" s="652"/>
      <c r="E39" s="751"/>
      <c r="F39" s="652"/>
      <c r="G39" s="652"/>
      <c r="H39" s="652"/>
      <c r="I39" s="653"/>
      <c r="J39" s="652"/>
      <c r="K39" s="653"/>
      <c r="L39" s="653"/>
    </row>
    <row r="40" spans="2:12" x14ac:dyDescent="0.25">
      <c r="B40" s="746"/>
      <c r="C40" s="652"/>
      <c r="D40" s="652"/>
      <c r="E40" s="751"/>
      <c r="F40" s="652"/>
      <c r="G40" s="652"/>
      <c r="H40" s="652"/>
      <c r="I40" s="653"/>
      <c r="J40" s="652"/>
      <c r="K40" s="653"/>
      <c r="L40" s="653"/>
    </row>
    <row r="41" spans="2:12" x14ac:dyDescent="0.25">
      <c r="B41" s="746"/>
      <c r="C41" s="652"/>
      <c r="D41" s="652"/>
      <c r="E41" s="751"/>
      <c r="F41" s="652"/>
      <c r="G41" s="652"/>
      <c r="H41" s="652"/>
      <c r="I41" s="653"/>
      <c r="J41" s="652"/>
      <c r="K41" s="653"/>
      <c r="L41" s="653"/>
    </row>
    <row r="42" spans="2:12" x14ac:dyDescent="0.25">
      <c r="B42" s="746"/>
      <c r="C42" s="652"/>
      <c r="D42" s="652"/>
      <c r="E42" s="751"/>
      <c r="F42" s="652"/>
      <c r="G42" s="652"/>
      <c r="H42" s="652"/>
      <c r="I42" s="653"/>
      <c r="J42" s="652"/>
      <c r="K42" s="653"/>
      <c r="L42" s="653"/>
    </row>
    <row r="43" spans="2:12" x14ac:dyDescent="0.25">
      <c r="B43" s="746"/>
      <c r="C43" s="652"/>
      <c r="D43" s="652"/>
      <c r="E43" s="751"/>
      <c r="F43" s="652"/>
      <c r="G43" s="652"/>
      <c r="H43" s="652"/>
      <c r="I43" s="653"/>
      <c r="J43" s="652"/>
      <c r="K43" s="653"/>
      <c r="L43" s="653"/>
    </row>
    <row r="44" spans="2:12" x14ac:dyDescent="0.25">
      <c r="B44" s="746"/>
      <c r="C44" s="652"/>
      <c r="D44" s="652"/>
      <c r="E44" s="751"/>
      <c r="F44" s="652"/>
      <c r="G44" s="652"/>
      <c r="H44" s="652"/>
      <c r="I44" s="653"/>
      <c r="J44" s="652"/>
      <c r="K44" s="653"/>
      <c r="L44" s="653"/>
    </row>
    <row r="45" spans="2:12" x14ac:dyDescent="0.25">
      <c r="B45" s="746"/>
      <c r="C45" s="652"/>
      <c r="D45" s="652"/>
      <c r="E45" s="751"/>
      <c r="F45" s="652"/>
      <c r="G45" s="652"/>
      <c r="H45" s="652"/>
      <c r="I45" s="653"/>
      <c r="J45" s="652"/>
      <c r="K45" s="653"/>
      <c r="L45" s="653"/>
    </row>
    <row r="46" spans="2:12" x14ac:dyDescent="0.25">
      <c r="B46" s="746"/>
      <c r="C46" s="652"/>
      <c r="D46" s="652"/>
      <c r="E46" s="751"/>
      <c r="F46" s="652"/>
      <c r="G46" s="652"/>
      <c r="H46" s="652"/>
      <c r="I46" s="653"/>
      <c r="J46" s="652"/>
      <c r="K46" s="653"/>
      <c r="L46" s="653"/>
    </row>
    <row r="47" spans="2:12" x14ac:dyDescent="0.25">
      <c r="B47" s="746"/>
      <c r="C47" s="652"/>
      <c r="D47" s="652"/>
      <c r="E47" s="751"/>
      <c r="F47" s="652"/>
      <c r="G47" s="652"/>
      <c r="H47" s="652"/>
      <c r="I47" s="653"/>
      <c r="J47" s="652"/>
      <c r="K47" s="653"/>
      <c r="L47" s="653"/>
    </row>
    <row r="48" spans="2:12" x14ac:dyDescent="0.25">
      <c r="B48" s="746"/>
      <c r="C48" s="652"/>
      <c r="D48" s="652"/>
      <c r="E48" s="751"/>
      <c r="F48" s="652"/>
      <c r="G48" s="652"/>
      <c r="H48" s="652"/>
      <c r="I48" s="653"/>
      <c r="J48" s="652"/>
      <c r="K48" s="653"/>
      <c r="L48" s="653"/>
    </row>
    <row r="49" spans="2:12" x14ac:dyDescent="0.25">
      <c r="B49" s="746"/>
      <c r="C49" s="652"/>
      <c r="D49" s="652"/>
      <c r="E49" s="751"/>
      <c r="F49" s="652"/>
      <c r="G49" s="652"/>
      <c r="H49" s="652"/>
      <c r="I49" s="653"/>
      <c r="J49" s="652"/>
      <c r="K49" s="653"/>
      <c r="L49" s="653"/>
    </row>
    <row r="50" spans="2:12" x14ac:dyDescent="0.25">
      <c r="B50" s="746"/>
      <c r="C50" s="652"/>
      <c r="D50" s="652"/>
      <c r="E50" s="751"/>
      <c r="F50" s="652"/>
      <c r="G50" s="652"/>
      <c r="H50" s="652"/>
      <c r="I50" s="653"/>
      <c r="J50" s="652"/>
      <c r="K50" s="653"/>
      <c r="L50" s="653"/>
    </row>
    <row r="51" spans="2:12" x14ac:dyDescent="0.25">
      <c r="B51" s="746"/>
      <c r="C51" s="652"/>
      <c r="D51" s="652"/>
      <c r="E51" s="751"/>
      <c r="F51" s="652"/>
      <c r="G51" s="652"/>
      <c r="H51" s="652"/>
      <c r="I51" s="653"/>
      <c r="J51" s="652"/>
      <c r="K51" s="653"/>
      <c r="L51" s="653"/>
    </row>
    <row r="52" spans="2:12" x14ac:dyDescent="0.25">
      <c r="B52" s="746"/>
      <c r="C52" s="652"/>
      <c r="D52" s="652"/>
      <c r="E52" s="751"/>
      <c r="F52" s="652"/>
      <c r="G52" s="652"/>
      <c r="H52" s="652"/>
      <c r="I52" s="653"/>
      <c r="J52" s="652"/>
      <c r="K52" s="653"/>
      <c r="L52" s="653"/>
    </row>
    <row r="53" spans="2:12" x14ac:dyDescent="0.25">
      <c r="B53" s="746"/>
      <c r="C53" s="652"/>
      <c r="D53" s="652"/>
      <c r="E53" s="751"/>
      <c r="F53" s="652"/>
      <c r="G53" s="652"/>
      <c r="H53" s="652"/>
      <c r="I53" s="653"/>
      <c r="J53" s="652"/>
      <c r="K53" s="653"/>
      <c r="L53" s="653"/>
    </row>
    <row r="54" spans="2:12" x14ac:dyDescent="0.25">
      <c r="B54" s="746"/>
      <c r="C54" s="652"/>
      <c r="D54" s="652"/>
      <c r="E54" s="751"/>
      <c r="F54" s="652"/>
      <c r="G54" s="652"/>
      <c r="H54" s="652"/>
      <c r="I54" s="653"/>
      <c r="J54" s="652"/>
      <c r="K54" s="653"/>
      <c r="L54" s="653"/>
    </row>
    <row r="55" spans="2:12" x14ac:dyDescent="0.25">
      <c r="B55" s="746"/>
      <c r="C55" s="652"/>
      <c r="D55" s="652"/>
      <c r="E55" s="751"/>
      <c r="F55" s="652"/>
      <c r="G55" s="652"/>
      <c r="H55" s="652"/>
      <c r="I55" s="653"/>
      <c r="J55" s="652"/>
      <c r="K55" s="653"/>
      <c r="L55" s="653"/>
    </row>
    <row r="56" spans="2:12" x14ac:dyDescent="0.25">
      <c r="B56" s="746"/>
      <c r="C56" s="652"/>
      <c r="D56" s="652"/>
      <c r="E56" s="751"/>
      <c r="F56" s="652"/>
      <c r="G56" s="652"/>
      <c r="H56" s="652"/>
      <c r="I56" s="653"/>
      <c r="J56" s="652"/>
      <c r="K56" s="653"/>
      <c r="L56" s="653"/>
    </row>
    <row r="57" spans="2:12" x14ac:dyDescent="0.25">
      <c r="B57" s="746"/>
      <c r="C57" s="652"/>
      <c r="D57" s="652"/>
      <c r="E57" s="751"/>
      <c r="F57" s="652"/>
      <c r="G57" s="652"/>
      <c r="H57" s="652"/>
      <c r="I57" s="653"/>
      <c r="J57" s="652"/>
      <c r="K57" s="653"/>
      <c r="L57" s="653"/>
    </row>
    <row r="58" spans="2:12" x14ac:dyDescent="0.25">
      <c r="B58" s="746"/>
      <c r="C58" s="652"/>
      <c r="D58" s="652"/>
      <c r="E58" s="751"/>
      <c r="F58" s="652"/>
      <c r="G58" s="652"/>
      <c r="H58" s="652"/>
      <c r="I58" s="653"/>
      <c r="J58" s="652"/>
      <c r="K58" s="653"/>
      <c r="L58" s="653"/>
    </row>
    <row r="59" spans="2:12" x14ac:dyDescent="0.25">
      <c r="B59" s="746"/>
      <c r="C59" s="652"/>
      <c r="D59" s="652"/>
      <c r="E59" s="751"/>
      <c r="F59" s="652"/>
      <c r="G59" s="652"/>
      <c r="H59" s="652"/>
      <c r="I59" s="653"/>
      <c r="J59" s="652"/>
      <c r="K59" s="653"/>
      <c r="L59" s="653"/>
    </row>
    <row r="60" spans="2:12" x14ac:dyDescent="0.25">
      <c r="B60" s="746"/>
      <c r="C60" s="652"/>
      <c r="D60" s="652"/>
      <c r="E60" s="751"/>
      <c r="F60" s="652"/>
      <c r="G60" s="652"/>
      <c r="H60" s="652"/>
      <c r="I60" s="653"/>
      <c r="J60" s="652"/>
      <c r="K60" s="653"/>
      <c r="L60" s="653"/>
    </row>
    <row r="61" spans="2:12" x14ac:dyDescent="0.25">
      <c r="B61" s="746"/>
      <c r="C61" s="652"/>
      <c r="D61" s="652"/>
      <c r="E61" s="751"/>
      <c r="F61" s="652"/>
      <c r="G61" s="652"/>
      <c r="H61" s="652"/>
      <c r="I61" s="653"/>
      <c r="J61" s="652"/>
      <c r="K61" s="653"/>
      <c r="L61" s="653"/>
    </row>
    <row r="62" spans="2:12" x14ac:dyDescent="0.25">
      <c r="B62" s="746"/>
      <c r="C62" s="652"/>
      <c r="D62" s="652"/>
      <c r="E62" s="751"/>
      <c r="F62" s="652"/>
      <c r="G62" s="652"/>
      <c r="H62" s="652"/>
      <c r="I62" s="653"/>
      <c r="J62" s="652"/>
      <c r="K62" s="653"/>
      <c r="L62" s="653"/>
    </row>
    <row r="63" spans="2:12" x14ac:dyDescent="0.25">
      <c r="B63" s="746"/>
      <c r="C63" s="652"/>
      <c r="D63" s="652"/>
      <c r="E63" s="751"/>
      <c r="F63" s="652"/>
      <c r="G63" s="652"/>
      <c r="H63" s="652"/>
      <c r="I63" s="653"/>
      <c r="J63" s="652"/>
      <c r="K63" s="653"/>
      <c r="L63" s="653"/>
    </row>
    <row r="64" spans="2:12" x14ac:dyDescent="0.25">
      <c r="B64" s="746"/>
      <c r="C64" s="652"/>
      <c r="D64" s="652"/>
      <c r="E64" s="751"/>
      <c r="F64" s="652"/>
      <c r="G64" s="652"/>
      <c r="H64" s="652"/>
      <c r="I64" s="653"/>
      <c r="J64" s="652"/>
      <c r="K64" s="653"/>
      <c r="L64" s="653"/>
    </row>
    <row r="65" spans="2:12" x14ac:dyDescent="0.25">
      <c r="B65" s="746"/>
      <c r="C65" s="652"/>
      <c r="D65" s="652"/>
      <c r="E65" s="751"/>
      <c r="F65" s="652"/>
      <c r="G65" s="652"/>
      <c r="H65" s="652"/>
      <c r="I65" s="653"/>
      <c r="J65" s="652"/>
      <c r="K65" s="653"/>
      <c r="L65" s="653"/>
    </row>
    <row r="66" spans="2:12" x14ac:dyDescent="0.25">
      <c r="B66" s="746"/>
      <c r="C66" s="652"/>
      <c r="D66" s="652"/>
      <c r="E66" s="751"/>
      <c r="F66" s="652"/>
      <c r="G66" s="652"/>
      <c r="H66" s="652"/>
      <c r="I66" s="653"/>
      <c r="J66" s="652"/>
      <c r="K66" s="653"/>
      <c r="L66" s="653"/>
    </row>
    <row r="67" spans="2:12" x14ac:dyDescent="0.25">
      <c r="B67" s="746"/>
      <c r="C67" s="652"/>
      <c r="D67" s="652"/>
      <c r="E67" s="751"/>
      <c r="F67" s="652"/>
      <c r="G67" s="652"/>
      <c r="H67" s="652"/>
      <c r="I67" s="653"/>
      <c r="J67" s="652"/>
      <c r="K67" s="653"/>
      <c r="L67" s="653"/>
    </row>
    <row r="68" spans="2:12" x14ac:dyDescent="0.25">
      <c r="B68" s="746"/>
      <c r="C68" s="652"/>
      <c r="D68" s="652"/>
      <c r="E68" s="751"/>
      <c r="F68" s="652"/>
      <c r="G68" s="652"/>
      <c r="H68" s="652"/>
      <c r="I68" s="653"/>
      <c r="J68" s="652"/>
      <c r="K68" s="653"/>
      <c r="L68" s="653"/>
    </row>
    <row r="69" spans="2:12" x14ac:dyDescent="0.25">
      <c r="B69" s="746"/>
      <c r="C69" s="652"/>
      <c r="D69" s="652"/>
      <c r="E69" s="751"/>
      <c r="F69" s="652"/>
      <c r="G69" s="652"/>
      <c r="H69" s="652"/>
      <c r="I69" s="653"/>
      <c r="J69" s="652"/>
      <c r="K69" s="653"/>
      <c r="L69" s="653"/>
    </row>
    <row r="70" spans="2:12" x14ac:dyDescent="0.25">
      <c r="B70" s="746"/>
      <c r="C70" s="652"/>
      <c r="D70" s="652"/>
      <c r="E70" s="751"/>
      <c r="F70" s="652"/>
      <c r="G70" s="652"/>
      <c r="H70" s="652"/>
      <c r="I70" s="653"/>
      <c r="J70" s="652"/>
      <c r="K70" s="653"/>
      <c r="L70" s="653"/>
    </row>
    <row r="71" spans="2:12" x14ac:dyDescent="0.25">
      <c r="B71" s="746"/>
      <c r="C71" s="652"/>
      <c r="D71" s="652"/>
      <c r="E71" s="751"/>
      <c r="F71" s="652"/>
      <c r="G71" s="652"/>
      <c r="H71" s="652"/>
      <c r="I71" s="653"/>
      <c r="J71" s="652"/>
      <c r="K71" s="653"/>
      <c r="L71" s="653"/>
    </row>
    <row r="72" spans="2:12" x14ac:dyDescent="0.25">
      <c r="B72" s="746"/>
      <c r="C72" s="652"/>
      <c r="D72" s="652"/>
      <c r="E72" s="751"/>
      <c r="F72" s="652"/>
      <c r="G72" s="652"/>
      <c r="H72" s="652"/>
      <c r="I72" s="653"/>
      <c r="J72" s="652"/>
      <c r="K72" s="653"/>
      <c r="L72" s="653"/>
    </row>
    <row r="73" spans="2:12" x14ac:dyDescent="0.25">
      <c r="B73" s="746"/>
      <c r="C73" s="652"/>
      <c r="D73" s="652"/>
      <c r="E73" s="751"/>
      <c r="F73" s="652"/>
      <c r="G73" s="652"/>
      <c r="H73" s="652"/>
      <c r="I73" s="653"/>
      <c r="J73" s="652"/>
      <c r="K73" s="653"/>
      <c r="L73" s="653"/>
    </row>
    <row r="74" spans="2:12" x14ac:dyDescent="0.25">
      <c r="B74" s="746"/>
      <c r="C74" s="652"/>
      <c r="D74" s="652"/>
      <c r="E74" s="751"/>
      <c r="F74" s="652"/>
      <c r="G74" s="652"/>
      <c r="H74" s="652"/>
      <c r="I74" s="653"/>
      <c r="J74" s="652"/>
      <c r="K74" s="653"/>
      <c r="L74" s="653"/>
    </row>
    <row r="75" spans="2:12" x14ac:dyDescent="0.25">
      <c r="B75" s="746"/>
      <c r="C75" s="652"/>
      <c r="D75" s="652"/>
      <c r="E75" s="751"/>
      <c r="F75" s="652"/>
      <c r="G75" s="652"/>
      <c r="H75" s="652"/>
      <c r="I75" s="653"/>
      <c r="J75" s="652"/>
      <c r="K75" s="653"/>
      <c r="L75" s="653"/>
    </row>
    <row r="76" spans="2:12" x14ac:dyDescent="0.25">
      <c r="B76" s="746"/>
      <c r="C76" s="652"/>
      <c r="D76" s="652"/>
      <c r="E76" s="751"/>
      <c r="F76" s="652"/>
      <c r="G76" s="652"/>
      <c r="H76" s="652"/>
      <c r="I76" s="653"/>
      <c r="J76" s="652"/>
      <c r="K76" s="653"/>
      <c r="L76" s="653"/>
    </row>
    <row r="77" spans="2:12" x14ac:dyDescent="0.25">
      <c r="B77" s="746"/>
      <c r="C77" s="652"/>
      <c r="D77" s="652"/>
      <c r="E77" s="751"/>
      <c r="F77" s="652"/>
      <c r="G77" s="652"/>
      <c r="H77" s="652"/>
      <c r="I77" s="653"/>
      <c r="J77" s="652"/>
      <c r="K77" s="653"/>
      <c r="L77" s="653"/>
    </row>
    <row r="78" spans="2:12" x14ac:dyDescent="0.25">
      <c r="B78" s="746"/>
      <c r="C78" s="652"/>
      <c r="D78" s="652"/>
      <c r="E78" s="751"/>
      <c r="F78" s="652"/>
      <c r="G78" s="652"/>
      <c r="H78" s="652"/>
      <c r="I78" s="653"/>
      <c r="J78" s="652"/>
      <c r="K78" s="653"/>
      <c r="L78" s="653"/>
    </row>
    <row r="79" spans="2:12" x14ac:dyDescent="0.25">
      <c r="B79" s="746"/>
      <c r="C79" s="652"/>
      <c r="D79" s="652"/>
      <c r="E79" s="751"/>
      <c r="F79" s="652"/>
      <c r="G79" s="652"/>
      <c r="H79" s="652"/>
      <c r="I79" s="653"/>
      <c r="J79" s="652"/>
      <c r="K79" s="653"/>
      <c r="L79" s="653"/>
    </row>
    <row r="80" spans="2:12" x14ac:dyDescent="0.25">
      <c r="B80" s="746"/>
      <c r="C80" s="652"/>
      <c r="D80" s="652"/>
      <c r="E80" s="751"/>
      <c r="F80" s="652"/>
      <c r="G80" s="652"/>
      <c r="H80" s="652"/>
      <c r="I80" s="653"/>
      <c r="J80" s="652"/>
      <c r="K80" s="653"/>
      <c r="L80" s="653"/>
    </row>
    <row r="81" spans="2:12" x14ac:dyDescent="0.25">
      <c r="B81" s="746"/>
      <c r="C81" s="652"/>
      <c r="D81" s="652"/>
      <c r="E81" s="751"/>
      <c r="F81" s="652"/>
      <c r="G81" s="652"/>
      <c r="H81" s="652"/>
      <c r="I81" s="653"/>
      <c r="J81" s="652"/>
      <c r="K81" s="653"/>
      <c r="L81" s="653"/>
    </row>
    <row r="82" spans="2:12" x14ac:dyDescent="0.25">
      <c r="B82" s="746"/>
      <c r="C82" s="652"/>
      <c r="D82" s="652"/>
      <c r="E82" s="751"/>
      <c r="F82" s="652"/>
      <c r="G82" s="652"/>
      <c r="H82" s="652"/>
      <c r="I82" s="653"/>
      <c r="J82" s="652"/>
      <c r="K82" s="653"/>
      <c r="L82" s="653"/>
    </row>
    <row r="83" spans="2:12" x14ac:dyDescent="0.25">
      <c r="B83" s="746"/>
      <c r="C83" s="652"/>
      <c r="D83" s="652"/>
      <c r="E83" s="751"/>
      <c r="F83" s="652"/>
      <c r="G83" s="652"/>
      <c r="H83" s="652"/>
      <c r="I83" s="653"/>
      <c r="J83" s="652"/>
      <c r="K83" s="653"/>
      <c r="L83" s="653"/>
    </row>
    <row r="84" spans="2:12" x14ac:dyDescent="0.25">
      <c r="B84" s="746"/>
      <c r="C84" s="652"/>
      <c r="D84" s="652"/>
      <c r="E84" s="751"/>
      <c r="F84" s="652"/>
      <c r="G84" s="652"/>
      <c r="H84" s="652"/>
      <c r="I84" s="653"/>
      <c r="J84" s="652"/>
      <c r="K84" s="653"/>
      <c r="L84" s="653"/>
    </row>
    <row r="85" spans="2:12" x14ac:dyDescent="0.25">
      <c r="B85" s="746"/>
      <c r="C85" s="652"/>
      <c r="D85" s="652"/>
      <c r="E85" s="751"/>
      <c r="F85" s="652"/>
      <c r="G85" s="652"/>
      <c r="H85" s="652"/>
      <c r="I85" s="653"/>
      <c r="J85" s="652"/>
      <c r="K85" s="653"/>
      <c r="L85" s="653"/>
    </row>
    <row r="86" spans="2:12" x14ac:dyDescent="0.25">
      <c r="B86" s="746"/>
      <c r="C86" s="652"/>
      <c r="D86" s="652"/>
      <c r="E86" s="751"/>
      <c r="F86" s="652"/>
      <c r="G86" s="652"/>
      <c r="H86" s="652"/>
      <c r="I86" s="653"/>
      <c r="J86" s="652"/>
      <c r="K86" s="653"/>
      <c r="L86" s="653"/>
    </row>
    <row r="87" spans="2:12" x14ac:dyDescent="0.25">
      <c r="B87" s="746"/>
      <c r="C87" s="652"/>
      <c r="D87" s="652"/>
      <c r="E87" s="751"/>
      <c r="F87" s="652"/>
      <c r="G87" s="652"/>
      <c r="H87" s="652"/>
      <c r="I87" s="653"/>
      <c r="J87" s="652"/>
      <c r="K87" s="653"/>
      <c r="L87" s="653"/>
    </row>
    <row r="88" spans="2:12" x14ac:dyDescent="0.25">
      <c r="B88" s="746"/>
      <c r="C88" s="652"/>
      <c r="D88" s="652"/>
      <c r="E88" s="751"/>
      <c r="F88" s="652"/>
      <c r="G88" s="652"/>
      <c r="H88" s="652"/>
      <c r="I88" s="653"/>
      <c r="J88" s="652"/>
      <c r="K88" s="653"/>
      <c r="L88" s="653"/>
    </row>
    <row r="89" spans="2:12" x14ac:dyDescent="0.25">
      <c r="B89" s="746"/>
      <c r="C89" s="652"/>
      <c r="D89" s="652"/>
      <c r="E89" s="751"/>
      <c r="F89" s="652"/>
      <c r="G89" s="652"/>
      <c r="H89" s="652"/>
      <c r="I89" s="653"/>
      <c r="J89" s="652"/>
      <c r="K89" s="653"/>
      <c r="L89" s="653"/>
    </row>
    <row r="90" spans="2:12" x14ac:dyDescent="0.25">
      <c r="B90" s="746"/>
      <c r="C90" s="652"/>
      <c r="D90" s="652"/>
      <c r="E90" s="751"/>
      <c r="F90" s="652"/>
      <c r="G90" s="652"/>
      <c r="H90" s="652"/>
      <c r="I90" s="653"/>
      <c r="J90" s="652"/>
      <c r="K90" s="653"/>
      <c r="L90" s="653"/>
    </row>
    <row r="91" spans="2:12" x14ac:dyDescent="0.25">
      <c r="B91" s="747"/>
      <c r="C91" s="654"/>
      <c r="D91" s="654"/>
      <c r="E91" s="752"/>
      <c r="F91" s="654"/>
      <c r="G91" s="654"/>
      <c r="H91" s="654"/>
      <c r="I91" s="655"/>
      <c r="J91" s="654"/>
      <c r="K91" s="655"/>
      <c r="L91" s="655"/>
    </row>
    <row r="92" spans="2:12" x14ac:dyDescent="0.25">
      <c r="D92" s="657"/>
      <c r="E92" s="753"/>
      <c r="I92" s="658"/>
      <c r="J92" s="657"/>
      <c r="K92" s="658"/>
      <c r="L92" s="658"/>
    </row>
    <row r="93" spans="2:12" x14ac:dyDescent="0.25">
      <c r="D93" s="657"/>
      <c r="E93" s="753"/>
      <c r="I93" s="658"/>
      <c r="J93" s="657"/>
      <c r="K93" s="658"/>
      <c r="L93" s="658"/>
    </row>
    <row r="94" spans="2:12" x14ac:dyDescent="0.25">
      <c r="D94" s="657"/>
      <c r="E94" s="753"/>
      <c r="I94" s="658"/>
      <c r="J94" s="657"/>
      <c r="K94" s="658"/>
      <c r="L94" s="658"/>
    </row>
    <row r="95" spans="2:12" x14ac:dyDescent="0.25">
      <c r="D95" s="657"/>
      <c r="E95" s="753"/>
      <c r="I95" s="658"/>
      <c r="J95" s="657"/>
      <c r="K95" s="658"/>
      <c r="L95" s="658"/>
    </row>
    <row r="96" spans="2:12" x14ac:dyDescent="0.25">
      <c r="D96" s="657"/>
      <c r="E96" s="753"/>
      <c r="I96" s="658"/>
      <c r="J96" s="657"/>
      <c r="K96" s="658"/>
      <c r="L96" s="658"/>
    </row>
    <row r="97" spans="4:12" x14ac:dyDescent="0.25">
      <c r="D97" s="657"/>
      <c r="E97" s="753"/>
      <c r="I97" s="658"/>
      <c r="J97" s="657"/>
      <c r="K97" s="658"/>
      <c r="L97" s="658"/>
    </row>
    <row r="98" spans="4:12" x14ac:dyDescent="0.25">
      <c r="D98" s="657"/>
      <c r="E98" s="753"/>
      <c r="I98" s="658"/>
      <c r="J98" s="657"/>
      <c r="K98" s="658"/>
      <c r="L98" s="658"/>
    </row>
    <row r="99" spans="4:12" x14ac:dyDescent="0.25">
      <c r="D99" s="657"/>
      <c r="E99" s="753"/>
      <c r="I99" s="658"/>
      <c r="J99" s="657"/>
      <c r="K99" s="658"/>
      <c r="L99" s="658"/>
    </row>
    <row r="100" spans="4:12" x14ac:dyDescent="0.25">
      <c r="D100" s="657"/>
      <c r="E100" s="753"/>
      <c r="I100" s="658"/>
      <c r="J100" s="657"/>
      <c r="K100" s="658"/>
      <c r="L100" s="658"/>
    </row>
    <row r="101" spans="4:12" x14ac:dyDescent="0.25">
      <c r="D101" s="657"/>
      <c r="E101" s="753"/>
      <c r="I101" s="658"/>
      <c r="J101" s="657"/>
      <c r="K101" s="658"/>
      <c r="L101" s="658"/>
    </row>
    <row r="102" spans="4:12" x14ac:dyDescent="0.25">
      <c r="D102" s="657"/>
      <c r="E102" s="753"/>
      <c r="I102" s="658"/>
      <c r="J102" s="657"/>
      <c r="K102" s="658"/>
      <c r="L102" s="658"/>
    </row>
    <row r="103" spans="4:12" x14ac:dyDescent="0.25">
      <c r="D103" s="657"/>
      <c r="E103" s="753"/>
      <c r="I103" s="658"/>
      <c r="J103" s="657"/>
      <c r="K103" s="658"/>
      <c r="L103" s="658"/>
    </row>
    <row r="104" spans="4:12" x14ac:dyDescent="0.25">
      <c r="D104" s="657"/>
      <c r="E104" s="753"/>
      <c r="I104" s="658"/>
      <c r="J104" s="657"/>
      <c r="K104" s="658"/>
      <c r="L104" s="658"/>
    </row>
    <row r="105" spans="4:12" x14ac:dyDescent="0.25">
      <c r="D105" s="657"/>
      <c r="E105" s="753"/>
      <c r="I105" s="658"/>
      <c r="J105" s="657"/>
      <c r="K105" s="658"/>
      <c r="L105" s="658"/>
    </row>
    <row r="106" spans="4:12" x14ac:dyDescent="0.25">
      <c r="D106" s="657"/>
      <c r="E106" s="753"/>
      <c r="I106" s="658"/>
      <c r="J106" s="657"/>
      <c r="K106" s="658"/>
      <c r="L106" s="658"/>
    </row>
    <row r="107" spans="4:12" x14ac:dyDescent="0.25">
      <c r="D107" s="657"/>
      <c r="E107" s="753"/>
      <c r="I107" s="658"/>
      <c r="J107" s="657"/>
      <c r="K107" s="658"/>
      <c r="L107" s="658"/>
    </row>
    <row r="108" spans="4:12" x14ac:dyDescent="0.25">
      <c r="D108" s="657"/>
      <c r="E108" s="753"/>
      <c r="I108" s="658"/>
      <c r="J108" s="657"/>
      <c r="K108" s="658"/>
      <c r="L108" s="658"/>
    </row>
    <row r="109" spans="4:12" x14ac:dyDescent="0.25">
      <c r="D109" s="657"/>
      <c r="E109" s="753"/>
      <c r="I109" s="658"/>
      <c r="J109" s="657"/>
      <c r="K109" s="658"/>
      <c r="L109" s="658"/>
    </row>
    <row r="110" spans="4:12" x14ac:dyDescent="0.25">
      <c r="D110" s="657"/>
      <c r="E110" s="753"/>
      <c r="I110" s="658"/>
      <c r="J110" s="657"/>
      <c r="K110" s="658"/>
      <c r="L110" s="658"/>
    </row>
    <row r="111" spans="4:12" x14ac:dyDescent="0.25">
      <c r="D111" s="657"/>
      <c r="E111" s="753"/>
      <c r="I111" s="658"/>
      <c r="J111" s="657"/>
      <c r="K111" s="658"/>
      <c r="L111" s="658"/>
    </row>
    <row r="112" spans="4:12" x14ac:dyDescent="0.25">
      <c r="D112" s="657"/>
      <c r="E112" s="753"/>
      <c r="I112" s="658"/>
      <c r="J112" s="657"/>
      <c r="K112" s="658"/>
      <c r="L112" s="658"/>
    </row>
    <row r="113" spans="4:12" x14ac:dyDescent="0.25">
      <c r="D113" s="657"/>
      <c r="E113" s="753"/>
      <c r="I113" s="658"/>
      <c r="J113" s="657"/>
      <c r="K113" s="658"/>
      <c r="L113" s="658"/>
    </row>
    <row r="114" spans="4:12" x14ac:dyDescent="0.25">
      <c r="D114" s="657"/>
      <c r="E114" s="753"/>
      <c r="I114" s="658"/>
      <c r="J114" s="657"/>
      <c r="K114" s="658"/>
      <c r="L114" s="658"/>
    </row>
    <row r="115" spans="4:12" x14ac:dyDescent="0.25">
      <c r="D115" s="657"/>
      <c r="E115" s="753"/>
      <c r="I115" s="658"/>
      <c r="J115" s="657"/>
      <c r="K115" s="658"/>
      <c r="L115" s="658"/>
    </row>
    <row r="116" spans="4:12" x14ac:dyDescent="0.25">
      <c r="D116" s="657"/>
      <c r="E116" s="753"/>
      <c r="I116" s="658"/>
      <c r="J116" s="657"/>
      <c r="K116" s="658"/>
      <c r="L116" s="658"/>
    </row>
    <row r="117" spans="4:12" x14ac:dyDescent="0.25">
      <c r="D117" s="657"/>
      <c r="E117" s="753"/>
      <c r="I117" s="658"/>
      <c r="J117" s="657"/>
      <c r="K117" s="658"/>
      <c r="L117" s="658"/>
    </row>
    <row r="118" spans="4:12" x14ac:dyDescent="0.25">
      <c r="D118" s="657"/>
      <c r="E118" s="753"/>
      <c r="I118" s="658"/>
      <c r="J118" s="657"/>
      <c r="K118" s="658"/>
      <c r="L118" s="658"/>
    </row>
    <row r="119" spans="4:12" x14ac:dyDescent="0.25">
      <c r="D119" s="657"/>
      <c r="E119" s="753"/>
      <c r="I119" s="658"/>
      <c r="J119" s="657"/>
      <c r="K119" s="658"/>
      <c r="L119" s="658"/>
    </row>
    <row r="120" spans="4:12" x14ac:dyDescent="0.25">
      <c r="D120" s="657"/>
      <c r="E120" s="753"/>
      <c r="I120" s="658"/>
      <c r="J120" s="657"/>
      <c r="K120" s="658"/>
      <c r="L120" s="658"/>
    </row>
    <row r="121" spans="4:12" x14ac:dyDescent="0.25">
      <c r="D121" s="657"/>
      <c r="E121" s="753"/>
      <c r="I121" s="658"/>
      <c r="J121" s="657"/>
      <c r="K121" s="658"/>
      <c r="L121" s="658"/>
    </row>
    <row r="122" spans="4:12" x14ac:dyDescent="0.25">
      <c r="D122" s="657"/>
      <c r="E122" s="753"/>
      <c r="I122" s="658"/>
      <c r="J122" s="657"/>
      <c r="K122" s="658"/>
      <c r="L122" s="658"/>
    </row>
    <row r="123" spans="4:12" x14ac:dyDescent="0.25">
      <c r="D123" s="657"/>
      <c r="E123" s="753"/>
      <c r="I123" s="658"/>
      <c r="J123" s="657"/>
      <c r="K123" s="658"/>
      <c r="L123" s="658"/>
    </row>
    <row r="124" spans="4:12" x14ac:dyDescent="0.25">
      <c r="D124" s="657"/>
      <c r="E124" s="753"/>
      <c r="I124" s="658"/>
      <c r="J124" s="657"/>
      <c r="K124" s="658"/>
      <c r="L124" s="658"/>
    </row>
    <row r="125" spans="4:12" x14ac:dyDescent="0.25">
      <c r="D125" s="657"/>
      <c r="E125" s="753"/>
      <c r="I125" s="658"/>
      <c r="J125" s="657"/>
      <c r="K125" s="658"/>
      <c r="L125" s="658"/>
    </row>
    <row r="126" spans="4:12" x14ac:dyDescent="0.25">
      <c r="D126" s="657"/>
      <c r="E126" s="753"/>
      <c r="I126" s="658"/>
      <c r="J126" s="657"/>
      <c r="K126" s="658"/>
      <c r="L126" s="658"/>
    </row>
    <row r="127" spans="4:12" x14ac:dyDescent="0.25">
      <c r="D127" s="657"/>
      <c r="E127" s="753"/>
      <c r="I127" s="658"/>
      <c r="J127" s="657"/>
      <c r="K127" s="658"/>
      <c r="L127" s="658"/>
    </row>
    <row r="128" spans="4:12" x14ac:dyDescent="0.25">
      <c r="D128" s="657"/>
      <c r="E128" s="753"/>
      <c r="I128" s="658"/>
      <c r="J128" s="657"/>
      <c r="K128" s="658"/>
      <c r="L128" s="658"/>
    </row>
    <row r="129" spans="4:12" x14ac:dyDescent="0.25">
      <c r="D129" s="657"/>
      <c r="E129" s="753"/>
      <c r="I129" s="658"/>
      <c r="J129" s="657"/>
      <c r="K129" s="658"/>
      <c r="L129" s="658"/>
    </row>
    <row r="130" spans="4:12" x14ac:dyDescent="0.25">
      <c r="D130" s="657"/>
      <c r="E130" s="753"/>
      <c r="I130" s="658"/>
      <c r="J130" s="657"/>
      <c r="K130" s="658"/>
      <c r="L130" s="658"/>
    </row>
    <row r="131" spans="4:12" x14ac:dyDescent="0.25">
      <c r="D131" s="657"/>
      <c r="E131" s="753"/>
      <c r="I131" s="658"/>
      <c r="J131" s="657"/>
      <c r="K131" s="658"/>
      <c r="L131" s="658"/>
    </row>
    <row r="132" spans="4:12" x14ac:dyDescent="0.25">
      <c r="D132" s="657"/>
      <c r="E132" s="753"/>
      <c r="I132" s="658"/>
      <c r="J132" s="657"/>
      <c r="K132" s="658"/>
      <c r="L132" s="658"/>
    </row>
    <row r="133" spans="4:12" x14ac:dyDescent="0.25">
      <c r="D133" s="657"/>
      <c r="E133" s="753"/>
      <c r="I133" s="658"/>
      <c r="J133" s="657"/>
      <c r="K133" s="658"/>
      <c r="L133" s="658"/>
    </row>
    <row r="134" spans="4:12" x14ac:dyDescent="0.25">
      <c r="D134" s="657"/>
      <c r="E134" s="753"/>
      <c r="I134" s="658"/>
      <c r="J134" s="657"/>
      <c r="K134" s="658"/>
      <c r="L134" s="658"/>
    </row>
    <row r="135" spans="4:12" x14ac:dyDescent="0.25">
      <c r="D135" s="657"/>
      <c r="E135" s="753"/>
      <c r="I135" s="658"/>
      <c r="J135" s="657"/>
      <c r="K135" s="658"/>
      <c r="L135" s="658"/>
    </row>
    <row r="136" spans="4:12" x14ac:dyDescent="0.25">
      <c r="D136" s="657"/>
      <c r="E136" s="753"/>
      <c r="I136" s="658"/>
      <c r="J136" s="657"/>
      <c r="K136" s="658"/>
      <c r="L136" s="658"/>
    </row>
    <row r="137" spans="4:12" x14ac:dyDescent="0.25">
      <c r="D137" s="657"/>
      <c r="E137" s="753"/>
      <c r="I137" s="658"/>
      <c r="J137" s="657"/>
      <c r="K137" s="658"/>
      <c r="L137" s="658"/>
    </row>
    <row r="138" spans="4:12" x14ac:dyDescent="0.25">
      <c r="D138" s="657"/>
      <c r="E138" s="753"/>
      <c r="I138" s="658"/>
      <c r="J138" s="657"/>
      <c r="K138" s="658"/>
      <c r="L138" s="658"/>
    </row>
    <row r="139" spans="4:12" x14ac:dyDescent="0.25">
      <c r="D139" s="657"/>
      <c r="E139" s="753"/>
      <c r="I139" s="658"/>
      <c r="J139" s="657"/>
      <c r="K139" s="658"/>
      <c r="L139" s="658"/>
    </row>
    <row r="140" spans="4:12" x14ac:dyDescent="0.25">
      <c r="D140" s="657"/>
      <c r="E140" s="753"/>
      <c r="I140" s="658"/>
      <c r="J140" s="657"/>
      <c r="K140" s="658"/>
      <c r="L140" s="658"/>
    </row>
    <row r="141" spans="4:12" x14ac:dyDescent="0.25">
      <c r="D141" s="657"/>
      <c r="E141" s="753"/>
      <c r="I141" s="658"/>
      <c r="J141" s="657"/>
      <c r="K141" s="658"/>
      <c r="L141" s="658"/>
    </row>
    <row r="142" spans="4:12" x14ac:dyDescent="0.25">
      <c r="D142" s="657"/>
      <c r="E142" s="753"/>
      <c r="I142" s="658"/>
      <c r="J142" s="657"/>
      <c r="K142" s="658"/>
      <c r="L142" s="658"/>
    </row>
    <row r="143" spans="4:12" x14ac:dyDescent="0.25">
      <c r="D143" s="657"/>
      <c r="E143" s="753"/>
      <c r="I143" s="658"/>
      <c r="J143" s="657"/>
      <c r="K143" s="658"/>
      <c r="L143" s="658"/>
    </row>
    <row r="144" spans="4:12" x14ac:dyDescent="0.25">
      <c r="D144" s="657"/>
      <c r="E144" s="753"/>
      <c r="I144" s="658"/>
      <c r="J144" s="657"/>
      <c r="K144" s="658"/>
      <c r="L144" s="658"/>
    </row>
    <row r="145" spans="4:12" x14ac:dyDescent="0.25">
      <c r="D145" s="657"/>
      <c r="E145" s="753"/>
      <c r="I145" s="658"/>
      <c r="J145" s="657"/>
      <c r="K145" s="658"/>
      <c r="L145" s="658"/>
    </row>
    <row r="146" spans="4:12" x14ac:dyDescent="0.25">
      <c r="D146" s="657"/>
      <c r="E146" s="753"/>
      <c r="I146" s="658"/>
      <c r="J146" s="657"/>
      <c r="K146" s="658"/>
      <c r="L146" s="658"/>
    </row>
    <row r="147" spans="4:12" x14ac:dyDescent="0.25">
      <c r="D147" s="657"/>
      <c r="E147" s="753"/>
      <c r="I147" s="658"/>
      <c r="J147" s="657"/>
      <c r="K147" s="658"/>
      <c r="L147" s="658"/>
    </row>
    <row r="148" spans="4:12" x14ac:dyDescent="0.25">
      <c r="D148" s="657"/>
      <c r="E148" s="753"/>
      <c r="I148" s="658"/>
      <c r="J148" s="657"/>
      <c r="K148" s="658"/>
      <c r="L148" s="658"/>
    </row>
    <row r="149" spans="4:12" x14ac:dyDescent="0.25">
      <c r="D149" s="657"/>
      <c r="E149" s="753"/>
      <c r="I149" s="658"/>
      <c r="J149" s="657"/>
      <c r="K149" s="658"/>
      <c r="L149" s="658"/>
    </row>
    <row r="150" spans="4:12" x14ac:dyDescent="0.25">
      <c r="D150" s="657"/>
      <c r="E150" s="753"/>
      <c r="I150" s="658"/>
      <c r="J150" s="657"/>
      <c r="K150" s="658"/>
      <c r="L150" s="658"/>
    </row>
    <row r="151" spans="4:12" x14ac:dyDescent="0.25">
      <c r="D151" s="657"/>
      <c r="E151" s="753"/>
      <c r="I151" s="658"/>
      <c r="J151" s="657"/>
      <c r="K151" s="658"/>
      <c r="L151" s="658"/>
    </row>
    <row r="152" spans="4:12" x14ac:dyDescent="0.25">
      <c r="D152" s="657"/>
      <c r="E152" s="753"/>
      <c r="I152" s="658"/>
      <c r="J152" s="657"/>
      <c r="K152" s="658"/>
      <c r="L152" s="658"/>
    </row>
    <row r="153" spans="4:12" x14ac:dyDescent="0.25">
      <c r="D153" s="657"/>
      <c r="E153" s="753"/>
      <c r="I153" s="658"/>
      <c r="J153" s="657"/>
      <c r="K153" s="658"/>
      <c r="L153" s="658"/>
    </row>
    <row r="154" spans="4:12" x14ac:dyDescent="0.25">
      <c r="D154" s="657"/>
      <c r="E154" s="753"/>
      <c r="I154" s="658"/>
      <c r="J154" s="657"/>
      <c r="K154" s="658"/>
      <c r="L154" s="658"/>
    </row>
    <row r="155" spans="4:12" x14ac:dyDescent="0.25">
      <c r="D155" s="657"/>
      <c r="E155" s="753"/>
      <c r="I155" s="658"/>
      <c r="J155" s="657"/>
      <c r="K155" s="658"/>
      <c r="L155" s="658"/>
    </row>
    <row r="156" spans="4:12" x14ac:dyDescent="0.25">
      <c r="D156" s="657"/>
      <c r="E156" s="753"/>
      <c r="I156" s="658"/>
      <c r="J156" s="657"/>
      <c r="K156" s="658"/>
      <c r="L156" s="658"/>
    </row>
    <row r="157" spans="4:12" x14ac:dyDescent="0.25">
      <c r="D157" s="657"/>
      <c r="E157" s="753"/>
      <c r="I157" s="658"/>
      <c r="J157" s="657"/>
      <c r="K157" s="658"/>
      <c r="L157" s="658"/>
    </row>
    <row r="158" spans="4:12" x14ac:dyDescent="0.25">
      <c r="D158" s="657"/>
      <c r="E158" s="753"/>
      <c r="I158" s="658"/>
      <c r="J158" s="657"/>
      <c r="K158" s="658"/>
      <c r="L158" s="658"/>
    </row>
    <row r="159" spans="4:12" x14ac:dyDescent="0.25">
      <c r="D159" s="657"/>
      <c r="E159" s="753"/>
      <c r="I159" s="658"/>
      <c r="J159" s="657"/>
      <c r="K159" s="658"/>
      <c r="L159" s="658"/>
    </row>
    <row r="160" spans="4:12" x14ac:dyDescent="0.25">
      <c r="D160" s="657"/>
      <c r="E160" s="753"/>
      <c r="I160" s="658"/>
      <c r="J160" s="657"/>
      <c r="K160" s="658"/>
      <c r="L160" s="658"/>
    </row>
    <row r="161" spans="4:12" x14ac:dyDescent="0.25">
      <c r="D161" s="657"/>
      <c r="E161" s="753"/>
      <c r="I161" s="658"/>
      <c r="J161" s="657"/>
      <c r="K161" s="658"/>
      <c r="L161" s="658"/>
    </row>
    <row r="162" spans="4:12" x14ac:dyDescent="0.25">
      <c r="D162" s="657"/>
      <c r="E162" s="753"/>
      <c r="I162" s="658"/>
      <c r="J162" s="657"/>
      <c r="K162" s="658"/>
      <c r="L162" s="658"/>
    </row>
    <row r="163" spans="4:12" x14ac:dyDescent="0.25">
      <c r="D163" s="657"/>
      <c r="E163" s="753"/>
      <c r="I163" s="658"/>
      <c r="J163" s="657"/>
      <c r="K163" s="658"/>
      <c r="L163" s="658"/>
    </row>
    <row r="164" spans="4:12" x14ac:dyDescent="0.25">
      <c r="D164" s="657"/>
      <c r="E164" s="753"/>
      <c r="I164" s="658"/>
      <c r="J164" s="657"/>
      <c r="K164" s="658"/>
      <c r="L164" s="658"/>
    </row>
    <row r="165" spans="4:12" x14ac:dyDescent="0.25">
      <c r="D165" s="657"/>
      <c r="E165" s="753"/>
      <c r="I165" s="658"/>
      <c r="J165" s="657"/>
      <c r="K165" s="658"/>
      <c r="L165" s="658"/>
    </row>
    <row r="166" spans="4:12" x14ac:dyDescent="0.25">
      <c r="D166" s="657"/>
      <c r="E166" s="753"/>
      <c r="I166" s="658"/>
      <c r="J166" s="657"/>
      <c r="K166" s="658"/>
      <c r="L166" s="658"/>
    </row>
    <row r="167" spans="4:12" x14ac:dyDescent="0.25">
      <c r="D167" s="657"/>
      <c r="E167" s="753"/>
      <c r="I167" s="658"/>
      <c r="J167" s="657"/>
      <c r="K167" s="658"/>
      <c r="L167" s="658"/>
    </row>
    <row r="168" spans="4:12" x14ac:dyDescent="0.25">
      <c r="D168" s="657"/>
      <c r="E168" s="753"/>
      <c r="I168" s="658"/>
      <c r="J168" s="657"/>
      <c r="K168" s="658"/>
      <c r="L168" s="658"/>
    </row>
    <row r="169" spans="4:12" x14ac:dyDescent="0.25">
      <c r="D169" s="657"/>
      <c r="E169" s="753"/>
      <c r="I169" s="658"/>
      <c r="J169" s="657"/>
      <c r="K169" s="658"/>
      <c r="L169" s="658"/>
    </row>
    <row r="170" spans="4:12" x14ac:dyDescent="0.25">
      <c r="D170" s="657"/>
      <c r="E170" s="753"/>
      <c r="I170" s="658"/>
      <c r="J170" s="657"/>
      <c r="K170" s="658"/>
      <c r="L170" s="658"/>
    </row>
    <row r="171" spans="4:12" x14ac:dyDescent="0.25">
      <c r="D171" s="657"/>
      <c r="E171" s="753"/>
      <c r="I171" s="658"/>
      <c r="J171" s="657"/>
      <c r="K171" s="658"/>
      <c r="L171" s="658"/>
    </row>
    <row r="172" spans="4:12" x14ac:dyDescent="0.25">
      <c r="D172" s="657"/>
      <c r="E172" s="753"/>
      <c r="I172" s="658"/>
      <c r="J172" s="657"/>
      <c r="K172" s="658"/>
      <c r="L172" s="658"/>
    </row>
    <row r="173" spans="4:12" x14ac:dyDescent="0.25">
      <c r="D173" s="657"/>
      <c r="E173" s="753"/>
      <c r="I173" s="658"/>
      <c r="J173" s="657"/>
      <c r="K173" s="658"/>
      <c r="L173" s="658"/>
    </row>
    <row r="174" spans="4:12" x14ac:dyDescent="0.25">
      <c r="D174" s="657"/>
      <c r="E174" s="753"/>
      <c r="I174" s="658"/>
      <c r="J174" s="657"/>
      <c r="K174" s="658"/>
      <c r="L174" s="658"/>
    </row>
    <row r="175" spans="4:12" x14ac:dyDescent="0.25">
      <c r="D175" s="657"/>
      <c r="E175" s="753"/>
      <c r="I175" s="658"/>
      <c r="J175" s="657"/>
      <c r="K175" s="658"/>
      <c r="L175" s="658"/>
    </row>
    <row r="176" spans="4:12" x14ac:dyDescent="0.25">
      <c r="D176" s="657"/>
      <c r="E176" s="753"/>
      <c r="I176" s="658"/>
      <c r="J176" s="657"/>
      <c r="K176" s="658"/>
      <c r="L176" s="658"/>
    </row>
    <row r="177" spans="4:12" x14ac:dyDescent="0.25">
      <c r="D177" s="657"/>
      <c r="E177" s="753"/>
      <c r="I177" s="658"/>
      <c r="J177" s="657"/>
      <c r="K177" s="658"/>
      <c r="L177" s="658"/>
    </row>
    <row r="178" spans="4:12" x14ac:dyDescent="0.25">
      <c r="D178" s="657"/>
      <c r="E178" s="753"/>
      <c r="I178" s="658"/>
      <c r="J178" s="657"/>
      <c r="K178" s="658"/>
      <c r="L178" s="658"/>
    </row>
    <row r="179" spans="4:12" x14ac:dyDescent="0.25">
      <c r="D179" s="657"/>
      <c r="E179" s="753"/>
      <c r="I179" s="658"/>
      <c r="J179" s="657"/>
      <c r="K179" s="658"/>
      <c r="L179" s="658"/>
    </row>
    <row r="180" spans="4:12" x14ac:dyDescent="0.25">
      <c r="D180" s="657"/>
      <c r="E180" s="753"/>
      <c r="I180" s="658"/>
      <c r="J180" s="657"/>
      <c r="K180" s="658"/>
      <c r="L180" s="658"/>
    </row>
    <row r="181" spans="4:12" x14ac:dyDescent="0.25">
      <c r="D181" s="657"/>
      <c r="E181" s="753"/>
      <c r="I181" s="658"/>
      <c r="J181" s="657"/>
      <c r="K181" s="658"/>
      <c r="L181" s="658"/>
    </row>
    <row r="182" spans="4:12" x14ac:dyDescent="0.25">
      <c r="D182" s="657"/>
      <c r="E182" s="753"/>
      <c r="I182" s="658"/>
      <c r="J182" s="657"/>
      <c r="K182" s="658"/>
      <c r="L182" s="658"/>
    </row>
    <row r="183" spans="4:12" x14ac:dyDescent="0.25">
      <c r="D183" s="657"/>
      <c r="E183" s="753"/>
      <c r="I183" s="658"/>
      <c r="J183" s="657"/>
      <c r="K183" s="658"/>
      <c r="L183" s="658"/>
    </row>
    <row r="184" spans="4:12" x14ac:dyDescent="0.25">
      <c r="D184" s="657"/>
      <c r="E184" s="753"/>
      <c r="I184" s="658"/>
      <c r="J184" s="657"/>
      <c r="K184" s="658"/>
      <c r="L184" s="658"/>
    </row>
    <row r="185" spans="4:12" x14ac:dyDescent="0.25">
      <c r="D185" s="657"/>
      <c r="E185" s="753"/>
      <c r="I185" s="658"/>
      <c r="J185" s="657"/>
      <c r="K185" s="658"/>
      <c r="L185" s="658"/>
    </row>
    <row r="186" spans="4:12" x14ac:dyDescent="0.25">
      <c r="D186" s="657"/>
      <c r="E186" s="753"/>
      <c r="I186" s="658"/>
      <c r="J186" s="657"/>
      <c r="K186" s="658"/>
      <c r="L186" s="658"/>
    </row>
    <row r="187" spans="4:12" x14ac:dyDescent="0.25">
      <c r="D187" s="657"/>
      <c r="E187" s="753"/>
      <c r="I187" s="658"/>
      <c r="J187" s="657"/>
      <c r="K187" s="658"/>
      <c r="L187" s="658"/>
    </row>
    <row r="188" spans="4:12" x14ac:dyDescent="0.25">
      <c r="D188" s="657"/>
      <c r="E188" s="753"/>
      <c r="I188" s="658"/>
      <c r="J188" s="657"/>
      <c r="K188" s="658"/>
      <c r="L188" s="658"/>
    </row>
    <row r="189" spans="4:12" x14ac:dyDescent="0.25">
      <c r="D189" s="657"/>
      <c r="E189" s="753"/>
      <c r="I189" s="658"/>
      <c r="J189" s="657"/>
      <c r="K189" s="658"/>
      <c r="L189" s="658"/>
    </row>
    <row r="190" spans="4:12" x14ac:dyDescent="0.25">
      <c r="D190" s="657"/>
      <c r="E190" s="753"/>
      <c r="I190" s="658"/>
      <c r="J190" s="657"/>
      <c r="K190" s="658"/>
      <c r="L190" s="658"/>
    </row>
    <row r="191" spans="4:12" x14ac:dyDescent="0.25">
      <c r="D191" s="657"/>
      <c r="E191" s="753"/>
      <c r="I191" s="658"/>
      <c r="J191" s="657"/>
      <c r="K191" s="658"/>
      <c r="L191" s="658"/>
    </row>
    <row r="192" spans="4:12" x14ac:dyDescent="0.25">
      <c r="D192" s="657"/>
      <c r="E192" s="753"/>
      <c r="I192" s="658"/>
      <c r="J192" s="657"/>
      <c r="K192" s="658"/>
      <c r="L192" s="658"/>
    </row>
    <row r="193" spans="4:12" x14ac:dyDescent="0.25">
      <c r="D193" s="657"/>
      <c r="E193" s="753"/>
      <c r="I193" s="658"/>
      <c r="J193" s="657"/>
      <c r="K193" s="658"/>
      <c r="L193" s="658"/>
    </row>
    <row r="194" spans="4:12" x14ac:dyDescent="0.25">
      <c r="D194" s="657"/>
      <c r="E194" s="753"/>
      <c r="I194" s="658"/>
      <c r="J194" s="657"/>
      <c r="K194" s="658"/>
      <c r="L194" s="658"/>
    </row>
    <row r="195" spans="4:12" x14ac:dyDescent="0.25">
      <c r="D195" s="657"/>
      <c r="E195" s="753"/>
      <c r="I195" s="658"/>
      <c r="J195" s="657"/>
      <c r="K195" s="658"/>
      <c r="L195" s="658"/>
    </row>
    <row r="196" spans="4:12" x14ac:dyDescent="0.25">
      <c r="D196" s="657"/>
      <c r="E196" s="753"/>
      <c r="I196" s="658"/>
      <c r="J196" s="657"/>
      <c r="K196" s="658"/>
      <c r="L196" s="658"/>
    </row>
    <row r="197" spans="4:12" x14ac:dyDescent="0.25">
      <c r="D197" s="657"/>
      <c r="E197" s="753"/>
      <c r="I197" s="658"/>
      <c r="J197" s="657"/>
      <c r="K197" s="658"/>
      <c r="L197" s="658"/>
    </row>
    <row r="198" spans="4:12" x14ac:dyDescent="0.25">
      <c r="D198" s="657"/>
      <c r="E198" s="753"/>
      <c r="I198" s="658"/>
      <c r="J198" s="657"/>
      <c r="K198" s="658"/>
      <c r="L198" s="658"/>
    </row>
    <row r="199" spans="4:12" x14ac:dyDescent="0.25">
      <c r="D199" s="657"/>
      <c r="E199" s="753"/>
      <c r="I199" s="658"/>
      <c r="J199" s="657"/>
      <c r="K199" s="658"/>
      <c r="L199" s="658"/>
    </row>
    <row r="200" spans="4:12" x14ac:dyDescent="0.25">
      <c r="D200" s="657"/>
      <c r="E200" s="753"/>
      <c r="I200" s="658"/>
      <c r="J200" s="657"/>
      <c r="K200" s="658"/>
      <c r="L200" s="658"/>
    </row>
    <row r="201" spans="4:12" x14ac:dyDescent="0.25">
      <c r="D201" s="657"/>
      <c r="E201" s="753"/>
      <c r="I201" s="658"/>
      <c r="J201" s="657"/>
      <c r="K201" s="658"/>
      <c r="L201" s="658"/>
    </row>
    <row r="202" spans="4:12" x14ac:dyDescent="0.25">
      <c r="D202" s="657"/>
      <c r="E202" s="753"/>
      <c r="I202" s="658"/>
      <c r="J202" s="657"/>
      <c r="K202" s="658"/>
      <c r="L202" s="658"/>
    </row>
    <row r="203" spans="4:12" x14ac:dyDescent="0.25">
      <c r="D203" s="657"/>
      <c r="E203" s="753"/>
      <c r="I203" s="658"/>
      <c r="J203" s="657"/>
      <c r="K203" s="658"/>
      <c r="L203" s="658"/>
    </row>
    <row r="204" spans="4:12" x14ac:dyDescent="0.25">
      <c r="D204" s="657"/>
      <c r="E204" s="753"/>
      <c r="I204" s="658"/>
      <c r="J204" s="657"/>
      <c r="K204" s="658"/>
      <c r="L204" s="658"/>
    </row>
    <row r="205" spans="4:12" x14ac:dyDescent="0.25">
      <c r="D205" s="657"/>
      <c r="E205" s="753"/>
      <c r="I205" s="658"/>
      <c r="J205" s="657"/>
      <c r="K205" s="658"/>
      <c r="L205" s="658"/>
    </row>
    <row r="206" spans="4:12" x14ac:dyDescent="0.25">
      <c r="D206" s="657"/>
      <c r="E206" s="753"/>
      <c r="I206" s="658"/>
      <c r="J206" s="657"/>
      <c r="K206" s="658"/>
      <c r="L206" s="658"/>
    </row>
    <row r="207" spans="4:12" x14ac:dyDescent="0.25">
      <c r="D207" s="657"/>
      <c r="E207" s="753"/>
      <c r="I207" s="658"/>
      <c r="J207" s="657"/>
      <c r="K207" s="658"/>
      <c r="L207" s="658"/>
    </row>
    <row r="208" spans="4:12" x14ac:dyDescent="0.25">
      <c r="D208" s="657"/>
      <c r="E208" s="753"/>
      <c r="I208" s="658"/>
      <c r="J208" s="657"/>
      <c r="K208" s="658"/>
      <c r="L208" s="658"/>
    </row>
    <row r="209" spans="4:12" x14ac:dyDescent="0.25">
      <c r="D209" s="657"/>
      <c r="E209" s="753"/>
      <c r="I209" s="658"/>
      <c r="J209" s="657"/>
      <c r="K209" s="658"/>
      <c r="L209" s="658"/>
    </row>
    <row r="210" spans="4:12" x14ac:dyDescent="0.25">
      <c r="D210" s="657"/>
      <c r="E210" s="753"/>
      <c r="I210" s="658"/>
      <c r="J210" s="657"/>
      <c r="K210" s="658"/>
      <c r="L210" s="658"/>
    </row>
    <row r="211" spans="4:12" x14ac:dyDescent="0.25">
      <c r="D211" s="657"/>
      <c r="E211" s="753"/>
      <c r="I211" s="658"/>
      <c r="J211" s="657"/>
      <c r="K211" s="658"/>
      <c r="L211" s="658"/>
    </row>
    <row r="212" spans="4:12" x14ac:dyDescent="0.25">
      <c r="D212" s="657"/>
      <c r="E212" s="753"/>
      <c r="I212" s="658"/>
      <c r="J212" s="657"/>
      <c r="K212" s="658"/>
      <c r="L212" s="658"/>
    </row>
    <row r="213" spans="4:12" x14ac:dyDescent="0.25">
      <c r="D213" s="657"/>
      <c r="E213" s="753"/>
      <c r="I213" s="658"/>
      <c r="J213" s="657"/>
      <c r="K213" s="658"/>
      <c r="L213" s="658"/>
    </row>
    <row r="214" spans="4:12" x14ac:dyDescent="0.25">
      <c r="D214" s="657"/>
      <c r="E214" s="753"/>
      <c r="I214" s="658"/>
      <c r="J214" s="657"/>
      <c r="K214" s="658"/>
      <c r="L214" s="658"/>
    </row>
    <row r="215" spans="4:12" x14ac:dyDescent="0.25">
      <c r="D215" s="657"/>
      <c r="E215" s="753"/>
      <c r="I215" s="658"/>
      <c r="J215" s="657"/>
      <c r="K215" s="658"/>
      <c r="L215" s="658"/>
    </row>
    <row r="216" spans="4:12" x14ac:dyDescent="0.25">
      <c r="D216" s="657"/>
      <c r="E216" s="753"/>
      <c r="I216" s="658"/>
      <c r="J216" s="657"/>
      <c r="K216" s="658"/>
      <c r="L216" s="658"/>
    </row>
    <row r="217" spans="4:12" x14ac:dyDescent="0.25">
      <c r="D217" s="657"/>
      <c r="E217" s="753"/>
      <c r="I217" s="658"/>
      <c r="J217" s="657"/>
      <c r="K217" s="658"/>
      <c r="L217" s="658"/>
    </row>
    <row r="218" spans="4:12" x14ac:dyDescent="0.25">
      <c r="D218" s="657"/>
      <c r="E218" s="753"/>
      <c r="I218" s="658"/>
      <c r="J218" s="657"/>
      <c r="K218" s="658"/>
      <c r="L218" s="658"/>
    </row>
    <row r="219" spans="4:12" x14ac:dyDescent="0.25">
      <c r="D219" s="657"/>
      <c r="E219" s="753"/>
      <c r="I219" s="658"/>
      <c r="J219" s="657"/>
      <c r="K219" s="658"/>
      <c r="L219" s="658"/>
    </row>
    <row r="220" spans="4:12" x14ac:dyDescent="0.25">
      <c r="D220" s="657"/>
      <c r="E220" s="753"/>
      <c r="I220" s="658"/>
      <c r="J220" s="657"/>
      <c r="K220" s="658"/>
      <c r="L220" s="658"/>
    </row>
    <row r="221" spans="4:12" x14ac:dyDescent="0.25">
      <c r="D221" s="657"/>
      <c r="E221" s="753"/>
      <c r="I221" s="658"/>
      <c r="J221" s="657"/>
      <c r="K221" s="658"/>
      <c r="L221" s="658"/>
    </row>
    <row r="222" spans="4:12" x14ac:dyDescent="0.25">
      <c r="D222" s="657"/>
      <c r="E222" s="753"/>
      <c r="I222" s="658"/>
      <c r="J222" s="657"/>
      <c r="K222" s="658"/>
      <c r="L222" s="658"/>
    </row>
    <row r="223" spans="4:12" x14ac:dyDescent="0.25">
      <c r="D223" s="657"/>
      <c r="E223" s="753"/>
      <c r="I223" s="658"/>
      <c r="J223" s="657"/>
      <c r="K223" s="658"/>
      <c r="L223" s="658"/>
    </row>
    <row r="224" spans="4:12" x14ac:dyDescent="0.25">
      <c r="D224" s="657"/>
      <c r="E224" s="753"/>
      <c r="I224" s="658"/>
      <c r="J224" s="657"/>
      <c r="K224" s="658"/>
      <c r="L224" s="658"/>
    </row>
    <row r="225" spans="4:12" x14ac:dyDescent="0.25">
      <c r="D225" s="657"/>
      <c r="E225" s="753"/>
      <c r="I225" s="658"/>
      <c r="J225" s="657"/>
      <c r="K225" s="658"/>
      <c r="L225" s="658"/>
    </row>
    <row r="226" spans="4:12" x14ac:dyDescent="0.25">
      <c r="D226" s="657"/>
      <c r="E226" s="753"/>
      <c r="I226" s="658"/>
      <c r="J226" s="657"/>
      <c r="K226" s="658"/>
      <c r="L226" s="658"/>
    </row>
    <row r="227" spans="4:12" x14ac:dyDescent="0.25">
      <c r="D227" s="657"/>
      <c r="E227" s="753"/>
      <c r="I227" s="658"/>
      <c r="J227" s="657"/>
      <c r="K227" s="658"/>
      <c r="L227" s="658"/>
    </row>
    <row r="228" spans="4:12" x14ac:dyDescent="0.25">
      <c r="D228" s="657"/>
      <c r="E228" s="753"/>
      <c r="I228" s="658"/>
      <c r="J228" s="657"/>
      <c r="K228" s="658"/>
      <c r="L228" s="658"/>
    </row>
    <row r="229" spans="4:12" x14ac:dyDescent="0.25">
      <c r="D229" s="657"/>
      <c r="E229" s="753"/>
      <c r="I229" s="658"/>
      <c r="J229" s="657"/>
      <c r="K229" s="658"/>
      <c r="L229" s="658"/>
    </row>
    <row r="230" spans="4:12" x14ac:dyDescent="0.25">
      <c r="D230" s="657"/>
      <c r="E230" s="753"/>
      <c r="I230" s="658"/>
      <c r="J230" s="657"/>
      <c r="K230" s="658"/>
      <c r="L230" s="658"/>
    </row>
    <row r="231" spans="4:12" x14ac:dyDescent="0.25">
      <c r="D231" s="657"/>
      <c r="E231" s="753"/>
      <c r="I231" s="658"/>
      <c r="J231" s="657"/>
      <c r="K231" s="658"/>
      <c r="L231" s="658"/>
    </row>
    <row r="232" spans="4:12" x14ac:dyDescent="0.25">
      <c r="D232" s="657"/>
      <c r="E232" s="753"/>
      <c r="I232" s="658"/>
      <c r="J232" s="657"/>
      <c r="K232" s="658"/>
      <c r="L232" s="658"/>
    </row>
    <row r="233" spans="4:12" x14ac:dyDescent="0.25">
      <c r="D233" s="657"/>
      <c r="E233" s="753"/>
      <c r="I233" s="658"/>
      <c r="J233" s="657"/>
      <c r="K233" s="658"/>
      <c r="L233" s="658"/>
    </row>
    <row r="234" spans="4:12" x14ac:dyDescent="0.25">
      <c r="D234" s="657"/>
      <c r="E234" s="753"/>
      <c r="I234" s="658"/>
      <c r="J234" s="657"/>
      <c r="K234" s="658"/>
      <c r="L234" s="658"/>
    </row>
    <row r="235" spans="4:12" x14ac:dyDescent="0.25">
      <c r="D235" s="657"/>
      <c r="E235" s="753"/>
      <c r="I235" s="658"/>
      <c r="J235" s="657"/>
      <c r="K235" s="658"/>
      <c r="L235" s="658"/>
    </row>
    <row r="236" spans="4:12" x14ac:dyDescent="0.25">
      <c r="D236" s="657"/>
      <c r="E236" s="753"/>
      <c r="I236" s="658"/>
      <c r="J236" s="657"/>
      <c r="K236" s="658"/>
      <c r="L236" s="658"/>
    </row>
    <row r="237" spans="4:12" x14ac:dyDescent="0.25">
      <c r="D237" s="657"/>
      <c r="E237" s="753"/>
      <c r="I237" s="658"/>
      <c r="J237" s="657"/>
      <c r="K237" s="658"/>
      <c r="L237" s="658"/>
    </row>
    <row r="238" spans="4:12" x14ac:dyDescent="0.25">
      <c r="D238" s="657"/>
      <c r="E238" s="753"/>
      <c r="I238" s="658"/>
      <c r="J238" s="657"/>
      <c r="K238" s="658"/>
      <c r="L238" s="658"/>
    </row>
    <row r="239" spans="4:12" x14ac:dyDescent="0.25">
      <c r="D239" s="657"/>
      <c r="E239" s="753"/>
      <c r="I239" s="658"/>
      <c r="J239" s="657"/>
      <c r="K239" s="658"/>
      <c r="L239" s="658"/>
    </row>
    <row r="240" spans="4:12" x14ac:dyDescent="0.25">
      <c r="D240" s="657"/>
      <c r="E240" s="753"/>
      <c r="I240" s="658"/>
      <c r="J240" s="657"/>
      <c r="K240" s="658"/>
      <c r="L240" s="658"/>
    </row>
    <row r="241" spans="4:12" x14ac:dyDescent="0.25">
      <c r="D241" s="657"/>
      <c r="E241" s="753"/>
      <c r="I241" s="658"/>
      <c r="J241" s="657"/>
      <c r="K241" s="658"/>
      <c r="L241" s="658"/>
    </row>
    <row r="242" spans="4:12" x14ac:dyDescent="0.25">
      <c r="D242" s="657"/>
      <c r="E242" s="753"/>
      <c r="I242" s="658"/>
      <c r="J242" s="657"/>
      <c r="K242" s="658"/>
      <c r="L242" s="658"/>
    </row>
    <row r="243" spans="4:12" x14ac:dyDescent="0.25">
      <c r="D243" s="657"/>
      <c r="E243" s="753"/>
      <c r="I243" s="658"/>
      <c r="J243" s="657"/>
      <c r="K243" s="658"/>
      <c r="L243" s="658"/>
    </row>
    <row r="244" spans="4:12" x14ac:dyDescent="0.25">
      <c r="D244" s="657"/>
      <c r="E244" s="753"/>
      <c r="I244" s="658"/>
      <c r="J244" s="657"/>
      <c r="K244" s="658"/>
      <c r="L244" s="658"/>
    </row>
    <row r="245" spans="4:12" x14ac:dyDescent="0.25">
      <c r="D245" s="657"/>
      <c r="E245" s="753"/>
      <c r="I245" s="658"/>
      <c r="J245" s="657"/>
      <c r="K245" s="658"/>
      <c r="L245" s="658"/>
    </row>
    <row r="246" spans="4:12" x14ac:dyDescent="0.25">
      <c r="D246" s="657"/>
      <c r="E246" s="753"/>
      <c r="I246" s="658"/>
      <c r="J246" s="657"/>
      <c r="K246" s="658"/>
      <c r="L246" s="658"/>
    </row>
    <row r="247" spans="4:12" x14ac:dyDescent="0.25">
      <c r="D247" s="657"/>
      <c r="E247" s="753"/>
      <c r="I247" s="658"/>
      <c r="J247" s="657"/>
      <c r="K247" s="658"/>
      <c r="L247" s="658"/>
    </row>
    <row r="248" spans="4:12" x14ac:dyDescent="0.25">
      <c r="D248" s="657"/>
      <c r="E248" s="753"/>
      <c r="I248" s="658"/>
      <c r="J248" s="657"/>
      <c r="K248" s="658"/>
      <c r="L248" s="658"/>
    </row>
    <row r="249" spans="4:12" x14ac:dyDescent="0.25">
      <c r="D249" s="657"/>
      <c r="E249" s="753"/>
      <c r="I249" s="658"/>
      <c r="J249" s="657"/>
      <c r="K249" s="658"/>
      <c r="L249" s="658"/>
    </row>
    <row r="250" spans="4:12" x14ac:dyDescent="0.25">
      <c r="D250" s="657"/>
      <c r="E250" s="753"/>
      <c r="I250" s="658"/>
      <c r="J250" s="657"/>
      <c r="K250" s="658"/>
      <c r="L250" s="658"/>
    </row>
    <row r="251" spans="4:12" x14ac:dyDescent="0.25">
      <c r="D251" s="657"/>
      <c r="E251" s="753"/>
      <c r="I251" s="658"/>
      <c r="J251" s="657"/>
      <c r="K251" s="658"/>
      <c r="L251" s="658"/>
    </row>
    <row r="252" spans="4:12" x14ac:dyDescent="0.25">
      <c r="D252" s="657"/>
      <c r="E252" s="753"/>
      <c r="I252" s="658"/>
      <c r="J252" s="657"/>
      <c r="K252" s="658"/>
      <c r="L252" s="658"/>
    </row>
    <row r="253" spans="4:12" x14ac:dyDescent="0.25">
      <c r="D253" s="657"/>
      <c r="E253" s="753"/>
      <c r="I253" s="658"/>
      <c r="J253" s="657"/>
      <c r="K253" s="658"/>
      <c r="L253" s="658"/>
    </row>
    <row r="254" spans="4:12" x14ac:dyDescent="0.25">
      <c r="D254" s="657"/>
      <c r="E254" s="753"/>
      <c r="I254" s="658"/>
      <c r="J254" s="657"/>
      <c r="K254" s="658"/>
      <c r="L254" s="658"/>
    </row>
    <row r="255" spans="4:12" x14ac:dyDescent="0.25">
      <c r="D255" s="657"/>
      <c r="E255" s="753"/>
      <c r="I255" s="658"/>
      <c r="J255" s="657"/>
      <c r="K255" s="658"/>
      <c r="L255" s="658"/>
    </row>
    <row r="256" spans="4:12" x14ac:dyDescent="0.25">
      <c r="D256" s="657"/>
      <c r="E256" s="753"/>
      <c r="I256" s="658"/>
      <c r="J256" s="657"/>
      <c r="K256" s="658"/>
      <c r="L256" s="658"/>
    </row>
    <row r="257" spans="4:12" x14ac:dyDescent="0.25">
      <c r="D257" s="657"/>
      <c r="E257" s="753"/>
      <c r="I257" s="658"/>
      <c r="J257" s="657"/>
      <c r="K257" s="658"/>
      <c r="L257" s="658"/>
    </row>
    <row r="258" spans="4:12" x14ac:dyDescent="0.25">
      <c r="D258" s="657"/>
      <c r="E258" s="753"/>
      <c r="I258" s="658"/>
      <c r="J258" s="657"/>
      <c r="K258" s="658"/>
      <c r="L258" s="658"/>
    </row>
    <row r="259" spans="4:12" x14ac:dyDescent="0.25">
      <c r="D259" s="657"/>
      <c r="E259" s="753"/>
      <c r="I259" s="658"/>
      <c r="J259" s="657"/>
      <c r="K259" s="658"/>
      <c r="L259" s="658"/>
    </row>
    <row r="260" spans="4:12" x14ac:dyDescent="0.25">
      <c r="D260" s="657"/>
      <c r="E260" s="753"/>
      <c r="I260" s="658"/>
      <c r="J260" s="657"/>
      <c r="K260" s="658"/>
      <c r="L260" s="658"/>
    </row>
    <row r="261" spans="4:12" x14ac:dyDescent="0.25">
      <c r="D261" s="657"/>
      <c r="E261" s="753"/>
      <c r="I261" s="658"/>
      <c r="J261" s="657"/>
      <c r="K261" s="658"/>
      <c r="L261" s="658"/>
    </row>
    <row r="262" spans="4:12" x14ac:dyDescent="0.25">
      <c r="D262" s="657"/>
      <c r="E262" s="753"/>
      <c r="I262" s="658"/>
      <c r="J262" s="657"/>
      <c r="K262" s="658"/>
      <c r="L262" s="658"/>
    </row>
    <row r="263" spans="4:12" x14ac:dyDescent="0.25">
      <c r="D263" s="657"/>
      <c r="E263" s="753"/>
      <c r="I263" s="658"/>
      <c r="J263" s="657"/>
      <c r="K263" s="658"/>
      <c r="L263" s="658"/>
    </row>
    <row r="264" spans="4:12" x14ac:dyDescent="0.25">
      <c r="D264" s="657"/>
      <c r="E264" s="753"/>
      <c r="I264" s="658"/>
      <c r="J264" s="657"/>
      <c r="K264" s="658"/>
      <c r="L264" s="658"/>
    </row>
    <row r="265" spans="4:12" x14ac:dyDescent="0.25">
      <c r="D265" s="657"/>
      <c r="E265" s="753"/>
      <c r="I265" s="658"/>
      <c r="J265" s="657"/>
      <c r="K265" s="658"/>
      <c r="L265" s="658"/>
    </row>
    <row r="266" spans="4:12" x14ac:dyDescent="0.25">
      <c r="D266" s="657"/>
      <c r="E266" s="753"/>
      <c r="I266" s="658"/>
      <c r="J266" s="657"/>
      <c r="K266" s="658"/>
      <c r="L266" s="658"/>
    </row>
    <row r="267" spans="4:12" x14ac:dyDescent="0.25">
      <c r="D267" s="657"/>
      <c r="E267" s="753"/>
      <c r="I267" s="658"/>
      <c r="J267" s="657"/>
      <c r="K267" s="658"/>
      <c r="L267" s="658"/>
    </row>
    <row r="268" spans="4:12" x14ac:dyDescent="0.25">
      <c r="D268" s="657"/>
      <c r="E268" s="753"/>
      <c r="I268" s="658"/>
      <c r="J268" s="657"/>
      <c r="K268" s="658"/>
      <c r="L268" s="658"/>
    </row>
    <row r="269" spans="4:12" x14ac:dyDescent="0.25">
      <c r="D269" s="657"/>
      <c r="E269" s="753"/>
      <c r="I269" s="658"/>
      <c r="J269" s="657"/>
      <c r="K269" s="658"/>
      <c r="L269" s="658"/>
    </row>
    <row r="270" spans="4:12" x14ac:dyDescent="0.25">
      <c r="D270" s="657"/>
      <c r="E270" s="753"/>
      <c r="I270" s="658"/>
      <c r="J270" s="657"/>
      <c r="K270" s="658"/>
      <c r="L270" s="658"/>
    </row>
    <row r="271" spans="4:12" x14ac:dyDescent="0.25">
      <c r="D271" s="657"/>
      <c r="E271" s="753"/>
      <c r="I271" s="658"/>
      <c r="J271" s="657"/>
      <c r="K271" s="658"/>
      <c r="L271" s="658"/>
    </row>
    <row r="272" spans="4:12" x14ac:dyDescent="0.25">
      <c r="D272" s="657"/>
      <c r="E272" s="753"/>
      <c r="I272" s="658"/>
      <c r="J272" s="657"/>
      <c r="K272" s="658"/>
      <c r="L272" s="658"/>
    </row>
    <row r="273" spans="4:12" x14ac:dyDescent="0.25">
      <c r="D273" s="657"/>
      <c r="E273" s="753"/>
      <c r="I273" s="658"/>
      <c r="J273" s="657"/>
      <c r="K273" s="658"/>
      <c r="L273" s="658"/>
    </row>
    <row r="274" spans="4:12" x14ac:dyDescent="0.25">
      <c r="D274" s="657"/>
      <c r="E274" s="753"/>
      <c r="I274" s="658"/>
      <c r="J274" s="657"/>
      <c r="K274" s="658"/>
      <c r="L274" s="658"/>
    </row>
    <row r="275" spans="4:12" x14ac:dyDescent="0.25">
      <c r="D275" s="657"/>
      <c r="E275" s="753"/>
      <c r="I275" s="658"/>
      <c r="J275" s="657"/>
      <c r="K275" s="658"/>
      <c r="L275" s="658"/>
    </row>
    <row r="276" spans="4:12" x14ac:dyDescent="0.25">
      <c r="D276" s="657"/>
      <c r="E276" s="753"/>
      <c r="I276" s="658"/>
      <c r="J276" s="657"/>
      <c r="K276" s="658"/>
      <c r="L276" s="658"/>
    </row>
    <row r="277" spans="4:12" x14ac:dyDescent="0.25">
      <c r="D277" s="657"/>
      <c r="E277" s="753"/>
      <c r="I277" s="658"/>
      <c r="J277" s="657"/>
      <c r="K277" s="658"/>
      <c r="L277" s="658"/>
    </row>
    <row r="278" spans="4:12" x14ac:dyDescent="0.25">
      <c r="D278" s="657"/>
      <c r="E278" s="753"/>
      <c r="I278" s="658"/>
      <c r="J278" s="657"/>
      <c r="K278" s="658"/>
      <c r="L278" s="658"/>
    </row>
    <row r="279" spans="4:12" x14ac:dyDescent="0.25">
      <c r="D279" s="657"/>
      <c r="E279" s="753"/>
      <c r="I279" s="658"/>
      <c r="J279" s="657"/>
      <c r="K279" s="658"/>
      <c r="L279" s="658"/>
    </row>
    <row r="280" spans="4:12" x14ac:dyDescent="0.25">
      <c r="D280" s="657"/>
      <c r="E280" s="753"/>
      <c r="I280" s="658"/>
      <c r="J280" s="657"/>
      <c r="K280" s="658"/>
      <c r="L280" s="658"/>
    </row>
    <row r="281" spans="4:12" x14ac:dyDescent="0.25">
      <c r="D281" s="657"/>
      <c r="E281" s="753"/>
      <c r="I281" s="658"/>
      <c r="J281" s="657"/>
      <c r="K281" s="658"/>
      <c r="L281" s="658"/>
    </row>
    <row r="282" spans="4:12" x14ac:dyDescent="0.25">
      <c r="D282" s="657"/>
      <c r="E282" s="753"/>
      <c r="I282" s="658"/>
      <c r="J282" s="657"/>
      <c r="K282" s="658"/>
      <c r="L282" s="658"/>
    </row>
    <row r="283" spans="4:12" x14ac:dyDescent="0.25">
      <c r="D283" s="657"/>
      <c r="E283" s="753"/>
      <c r="I283" s="658"/>
      <c r="J283" s="657"/>
      <c r="K283" s="658"/>
      <c r="L283" s="658"/>
    </row>
    <row r="284" spans="4:12" x14ac:dyDescent="0.25">
      <c r="D284" s="657"/>
      <c r="E284" s="753"/>
      <c r="I284" s="658"/>
      <c r="J284" s="657"/>
      <c r="K284" s="658"/>
      <c r="L284" s="658"/>
    </row>
    <row r="285" spans="4:12" x14ac:dyDescent="0.25">
      <c r="D285" s="657"/>
      <c r="E285" s="753"/>
      <c r="I285" s="658"/>
      <c r="J285" s="657"/>
      <c r="K285" s="658"/>
      <c r="L285" s="658"/>
    </row>
    <row r="286" spans="4:12" x14ac:dyDescent="0.25">
      <c r="D286" s="657"/>
      <c r="E286" s="753"/>
      <c r="I286" s="658"/>
      <c r="J286" s="657"/>
      <c r="K286" s="658"/>
      <c r="L286" s="658"/>
    </row>
    <row r="287" spans="4:12" x14ac:dyDescent="0.25">
      <c r="D287" s="657"/>
      <c r="E287" s="753"/>
      <c r="I287" s="658"/>
      <c r="J287" s="657"/>
      <c r="K287" s="658"/>
      <c r="L287" s="658"/>
    </row>
    <row r="288" spans="4:12" x14ac:dyDescent="0.25">
      <c r="D288" s="657"/>
      <c r="E288" s="753"/>
      <c r="I288" s="658"/>
      <c r="J288" s="657"/>
      <c r="K288" s="658"/>
      <c r="L288" s="658"/>
    </row>
    <row r="289" spans="4:12" x14ac:dyDescent="0.25">
      <c r="D289" s="657"/>
      <c r="E289" s="753"/>
      <c r="I289" s="658"/>
      <c r="J289" s="657"/>
      <c r="K289" s="658"/>
      <c r="L289" s="658"/>
    </row>
    <row r="290" spans="4:12" x14ac:dyDescent="0.25">
      <c r="D290" s="657"/>
      <c r="E290" s="753"/>
      <c r="I290" s="658"/>
      <c r="J290" s="657"/>
      <c r="K290" s="658"/>
      <c r="L290" s="658"/>
    </row>
    <row r="291" spans="4:12" x14ac:dyDescent="0.25">
      <c r="D291" s="657"/>
      <c r="E291" s="753"/>
      <c r="I291" s="658"/>
      <c r="J291" s="657"/>
      <c r="K291" s="658"/>
      <c r="L291" s="658"/>
    </row>
    <row r="292" spans="4:12" x14ac:dyDescent="0.25">
      <c r="D292" s="657"/>
      <c r="E292" s="753"/>
      <c r="I292" s="658"/>
      <c r="J292" s="657"/>
      <c r="K292" s="658"/>
      <c r="L292" s="658"/>
    </row>
    <row r="293" spans="4:12" x14ac:dyDescent="0.25">
      <c r="D293" s="657"/>
      <c r="E293" s="753"/>
      <c r="I293" s="658"/>
      <c r="J293" s="657"/>
      <c r="K293" s="658"/>
      <c r="L293" s="658"/>
    </row>
    <row r="294" spans="4:12" x14ac:dyDescent="0.25">
      <c r="D294" s="657"/>
      <c r="E294" s="753"/>
      <c r="I294" s="658"/>
      <c r="J294" s="657"/>
      <c r="K294" s="658"/>
      <c r="L294" s="658"/>
    </row>
    <row r="295" spans="4:12" x14ac:dyDescent="0.25">
      <c r="D295" s="657"/>
      <c r="E295" s="753"/>
      <c r="I295" s="658"/>
      <c r="J295" s="657"/>
      <c r="K295" s="658"/>
      <c r="L295" s="658"/>
    </row>
    <row r="296" spans="4:12" x14ac:dyDescent="0.25">
      <c r="D296" s="657"/>
      <c r="E296" s="753"/>
      <c r="I296" s="658"/>
      <c r="J296" s="657"/>
      <c r="K296" s="658"/>
      <c r="L296" s="658"/>
    </row>
    <row r="297" spans="4:12" x14ac:dyDescent="0.25">
      <c r="D297" s="657"/>
      <c r="E297" s="753"/>
      <c r="I297" s="658"/>
      <c r="J297" s="657"/>
      <c r="K297" s="658"/>
      <c r="L297" s="658"/>
    </row>
    <row r="298" spans="4:12" x14ac:dyDescent="0.25">
      <c r="D298" s="657"/>
      <c r="E298" s="753"/>
      <c r="I298" s="658"/>
      <c r="J298" s="657"/>
      <c r="K298" s="658"/>
      <c r="L298" s="658"/>
    </row>
    <row r="299" spans="4:12" x14ac:dyDescent="0.25">
      <c r="D299" s="657"/>
      <c r="E299" s="753"/>
      <c r="I299" s="658"/>
      <c r="J299" s="657"/>
      <c r="K299" s="658"/>
      <c r="L299" s="658"/>
    </row>
    <row r="300" spans="4:12" x14ac:dyDescent="0.25">
      <c r="D300" s="657"/>
      <c r="E300" s="753"/>
      <c r="I300" s="658"/>
      <c r="J300" s="657"/>
      <c r="K300" s="658"/>
      <c r="L300" s="658"/>
    </row>
    <row r="301" spans="4:12" x14ac:dyDescent="0.25">
      <c r="D301" s="657"/>
      <c r="E301" s="753"/>
      <c r="I301" s="658"/>
      <c r="J301" s="657"/>
      <c r="K301" s="658"/>
      <c r="L301" s="658"/>
    </row>
    <row r="302" spans="4:12" x14ac:dyDescent="0.25">
      <c r="D302" s="657"/>
      <c r="E302" s="753"/>
      <c r="I302" s="658"/>
      <c r="J302" s="657"/>
      <c r="K302" s="658"/>
      <c r="L302" s="658"/>
    </row>
    <row r="303" spans="4:12" x14ac:dyDescent="0.25">
      <c r="D303" s="657"/>
      <c r="E303" s="753"/>
      <c r="I303" s="658"/>
      <c r="J303" s="657"/>
      <c r="K303" s="658"/>
      <c r="L303" s="658"/>
    </row>
    <row r="304" spans="4:12" x14ac:dyDescent="0.25">
      <c r="D304" s="657"/>
      <c r="E304" s="753"/>
      <c r="I304" s="658"/>
      <c r="J304" s="657"/>
      <c r="K304" s="658"/>
      <c r="L304" s="658"/>
    </row>
    <row r="305" spans="4:12" x14ac:dyDescent="0.25">
      <c r="D305" s="657"/>
      <c r="E305" s="753"/>
      <c r="I305" s="658"/>
      <c r="J305" s="657"/>
      <c r="K305" s="658"/>
      <c r="L305" s="658"/>
    </row>
    <row r="306" spans="4:12" x14ac:dyDescent="0.25">
      <c r="D306" s="657"/>
      <c r="E306" s="753"/>
      <c r="I306" s="658"/>
      <c r="J306" s="657"/>
      <c r="K306" s="658"/>
      <c r="L306" s="658"/>
    </row>
    <row r="307" spans="4:12" x14ac:dyDescent="0.25">
      <c r="D307" s="657"/>
      <c r="E307" s="753"/>
      <c r="I307" s="658"/>
      <c r="J307" s="657"/>
      <c r="K307" s="658"/>
      <c r="L307" s="658"/>
    </row>
    <row r="308" spans="4:12" x14ac:dyDescent="0.25">
      <c r="D308" s="657"/>
      <c r="E308" s="753"/>
      <c r="I308" s="658"/>
      <c r="J308" s="657"/>
      <c r="K308" s="658"/>
      <c r="L308" s="658"/>
    </row>
    <row r="309" spans="4:12" x14ac:dyDescent="0.25">
      <c r="D309" s="657"/>
      <c r="E309" s="753"/>
      <c r="I309" s="658"/>
      <c r="J309" s="657"/>
      <c r="K309" s="658"/>
      <c r="L309" s="658"/>
    </row>
    <row r="310" spans="4:12" x14ac:dyDescent="0.25">
      <c r="D310" s="657"/>
      <c r="E310" s="753"/>
      <c r="I310" s="658"/>
      <c r="J310" s="657"/>
      <c r="K310" s="658"/>
      <c r="L310" s="658"/>
    </row>
    <row r="311" spans="4:12" x14ac:dyDescent="0.25">
      <c r="D311" s="657"/>
      <c r="E311" s="753"/>
      <c r="I311" s="658"/>
      <c r="J311" s="657"/>
      <c r="K311" s="658"/>
      <c r="L311" s="658"/>
    </row>
    <row r="312" spans="4:12" x14ac:dyDescent="0.25">
      <c r="D312" s="657"/>
      <c r="E312" s="753"/>
      <c r="I312" s="658"/>
      <c r="J312" s="657"/>
      <c r="K312" s="658"/>
      <c r="L312" s="658"/>
    </row>
    <row r="313" spans="4:12" x14ac:dyDescent="0.25">
      <c r="D313" s="657"/>
      <c r="E313" s="753"/>
      <c r="I313" s="658"/>
      <c r="J313" s="657"/>
      <c r="K313" s="658"/>
      <c r="L313" s="658"/>
    </row>
    <row r="314" spans="4:12" x14ac:dyDescent="0.25">
      <c r="D314" s="657"/>
      <c r="E314" s="753"/>
      <c r="I314" s="658"/>
      <c r="J314" s="657"/>
      <c r="K314" s="658"/>
      <c r="L314" s="658"/>
    </row>
    <row r="315" spans="4:12" x14ac:dyDescent="0.25">
      <c r="D315" s="657"/>
      <c r="E315" s="753"/>
      <c r="I315" s="658"/>
      <c r="J315" s="657"/>
      <c r="K315" s="658"/>
      <c r="L315" s="658"/>
    </row>
    <row r="316" spans="4:12" x14ac:dyDescent="0.25">
      <c r="D316" s="657"/>
      <c r="E316" s="753"/>
      <c r="I316" s="658"/>
      <c r="J316" s="657"/>
      <c r="K316" s="658"/>
      <c r="L316" s="658"/>
    </row>
    <row r="317" spans="4:12" x14ac:dyDescent="0.25">
      <c r="D317" s="657"/>
      <c r="E317" s="753"/>
      <c r="I317" s="658"/>
      <c r="J317" s="657"/>
      <c r="K317" s="658"/>
      <c r="L317" s="658"/>
    </row>
    <row r="318" spans="4:12" x14ac:dyDescent="0.25">
      <c r="D318" s="657"/>
      <c r="E318" s="753"/>
      <c r="I318" s="658"/>
      <c r="J318" s="657"/>
      <c r="K318" s="658"/>
      <c r="L318" s="658"/>
    </row>
    <row r="319" spans="4:12" x14ac:dyDescent="0.25">
      <c r="D319" s="657"/>
      <c r="E319" s="753"/>
      <c r="I319" s="658"/>
      <c r="J319" s="657"/>
      <c r="K319" s="658"/>
      <c r="L319" s="658"/>
    </row>
    <row r="320" spans="4:12" x14ac:dyDescent="0.25">
      <c r="D320" s="657"/>
      <c r="E320" s="753"/>
      <c r="I320" s="658"/>
      <c r="J320" s="657"/>
      <c r="K320" s="658"/>
      <c r="L320" s="658"/>
    </row>
    <row r="321" spans="4:12" x14ac:dyDescent="0.25">
      <c r="D321" s="657"/>
      <c r="E321" s="753"/>
      <c r="I321" s="658"/>
      <c r="J321" s="657"/>
      <c r="K321" s="658"/>
      <c r="L321" s="658"/>
    </row>
    <row r="322" spans="4:12" x14ac:dyDescent="0.25">
      <c r="D322" s="657"/>
      <c r="E322" s="753"/>
      <c r="I322" s="658"/>
      <c r="J322" s="657"/>
      <c r="K322" s="658"/>
      <c r="L322" s="658"/>
    </row>
    <row r="323" spans="4:12" x14ac:dyDescent="0.25">
      <c r="D323" s="657"/>
      <c r="E323" s="753"/>
      <c r="I323" s="658"/>
      <c r="J323" s="657"/>
      <c r="K323" s="658"/>
      <c r="L323" s="658"/>
    </row>
    <row r="324" spans="4:12" x14ac:dyDescent="0.25">
      <c r="D324" s="657"/>
      <c r="E324" s="753"/>
      <c r="I324" s="658"/>
      <c r="J324" s="657"/>
      <c r="K324" s="658"/>
      <c r="L324" s="658"/>
    </row>
    <row r="325" spans="4:12" x14ac:dyDescent="0.25">
      <c r="D325" s="657"/>
      <c r="E325" s="753"/>
      <c r="I325" s="658"/>
      <c r="J325" s="657"/>
      <c r="K325" s="658"/>
      <c r="L325" s="658"/>
    </row>
    <row r="326" spans="4:12" x14ac:dyDescent="0.25">
      <c r="D326" s="657"/>
      <c r="E326" s="753"/>
      <c r="I326" s="658"/>
      <c r="J326" s="657"/>
      <c r="K326" s="658"/>
      <c r="L326" s="658"/>
    </row>
    <row r="327" spans="4:12" x14ac:dyDescent="0.25">
      <c r="D327" s="657"/>
      <c r="E327" s="753"/>
      <c r="I327" s="658"/>
      <c r="J327" s="657"/>
      <c r="K327" s="658"/>
      <c r="L327" s="658"/>
    </row>
    <row r="328" spans="4:12" x14ac:dyDescent="0.25">
      <c r="D328" s="657"/>
      <c r="E328" s="753"/>
      <c r="I328" s="658"/>
      <c r="J328" s="657"/>
      <c r="K328" s="658"/>
      <c r="L328" s="658"/>
    </row>
    <row r="329" spans="4:12" x14ac:dyDescent="0.25">
      <c r="D329" s="657"/>
      <c r="E329" s="753"/>
      <c r="I329" s="658"/>
      <c r="J329" s="657"/>
      <c r="K329" s="658"/>
      <c r="L329" s="658"/>
    </row>
    <row r="330" spans="4:12" x14ac:dyDescent="0.25">
      <c r="D330" s="657"/>
      <c r="E330" s="753"/>
      <c r="I330" s="658"/>
      <c r="J330" s="657"/>
      <c r="K330" s="658"/>
      <c r="L330" s="658"/>
    </row>
    <row r="331" spans="4:12" x14ac:dyDescent="0.25">
      <c r="D331" s="657"/>
      <c r="E331" s="753"/>
      <c r="I331" s="658"/>
      <c r="J331" s="657"/>
      <c r="K331" s="658"/>
      <c r="L331" s="658"/>
    </row>
    <row r="332" spans="4:12" x14ac:dyDescent="0.25">
      <c r="D332" s="657"/>
      <c r="E332" s="753"/>
      <c r="I332" s="658"/>
      <c r="J332" s="657"/>
      <c r="K332" s="658"/>
      <c r="L332" s="658"/>
    </row>
    <row r="333" spans="4:12" x14ac:dyDescent="0.25">
      <c r="D333" s="657"/>
      <c r="E333" s="753"/>
      <c r="I333" s="658"/>
      <c r="J333" s="657"/>
      <c r="K333" s="658"/>
      <c r="L333" s="658"/>
    </row>
    <row r="334" spans="4:12" x14ac:dyDescent="0.25">
      <c r="D334" s="657"/>
      <c r="E334" s="753"/>
      <c r="I334" s="658"/>
      <c r="J334" s="657"/>
      <c r="K334" s="658"/>
      <c r="L334" s="658"/>
    </row>
    <row r="335" spans="4:12" x14ac:dyDescent="0.25">
      <c r="D335" s="657"/>
      <c r="E335" s="753"/>
      <c r="I335" s="658"/>
      <c r="J335" s="657"/>
      <c r="K335" s="658"/>
      <c r="L335" s="658"/>
    </row>
    <row r="336" spans="4:12" x14ac:dyDescent="0.25">
      <c r="D336" s="657"/>
      <c r="E336" s="753"/>
      <c r="I336" s="658"/>
      <c r="J336" s="657"/>
      <c r="K336" s="658"/>
      <c r="L336" s="658"/>
    </row>
    <row r="337" spans="4:12" x14ac:dyDescent="0.25">
      <c r="D337" s="657"/>
      <c r="E337" s="753"/>
      <c r="I337" s="658"/>
      <c r="J337" s="657"/>
      <c r="K337" s="658"/>
      <c r="L337" s="658"/>
    </row>
    <row r="338" spans="4:12" x14ac:dyDescent="0.25">
      <c r="D338" s="657"/>
      <c r="E338" s="753"/>
      <c r="I338" s="658"/>
      <c r="J338" s="657"/>
      <c r="K338" s="658"/>
      <c r="L338" s="658"/>
    </row>
    <row r="339" spans="4:12" x14ac:dyDescent="0.25">
      <c r="D339" s="657"/>
      <c r="E339" s="753"/>
      <c r="I339" s="658"/>
      <c r="J339" s="657"/>
      <c r="K339" s="658"/>
      <c r="L339" s="658"/>
    </row>
    <row r="340" spans="4:12" x14ac:dyDescent="0.25">
      <c r="D340" s="657"/>
      <c r="E340" s="753"/>
      <c r="I340" s="658"/>
      <c r="J340" s="657"/>
      <c r="K340" s="658"/>
      <c r="L340" s="658"/>
    </row>
    <row r="341" spans="4:12" x14ac:dyDescent="0.25">
      <c r="D341" s="657"/>
      <c r="E341" s="753"/>
      <c r="I341" s="658"/>
      <c r="J341" s="657"/>
      <c r="K341" s="658"/>
      <c r="L341" s="658"/>
    </row>
    <row r="342" spans="4:12" x14ac:dyDescent="0.25">
      <c r="D342" s="657"/>
      <c r="E342" s="753"/>
      <c r="I342" s="658"/>
      <c r="J342" s="657"/>
      <c r="K342" s="658"/>
      <c r="L342" s="658"/>
    </row>
    <row r="343" spans="4:12" x14ac:dyDescent="0.25">
      <c r="D343" s="657"/>
      <c r="E343" s="753"/>
      <c r="I343" s="658"/>
      <c r="J343" s="657"/>
      <c r="K343" s="658"/>
      <c r="L343" s="658"/>
    </row>
    <row r="344" spans="4:12" x14ac:dyDescent="0.25">
      <c r="D344" s="657"/>
      <c r="E344" s="753"/>
      <c r="I344" s="658"/>
      <c r="J344" s="657"/>
      <c r="K344" s="658"/>
      <c r="L344" s="658"/>
    </row>
    <row r="345" spans="4:12" x14ac:dyDescent="0.25">
      <c r="D345" s="657"/>
      <c r="E345" s="753"/>
      <c r="I345" s="658"/>
      <c r="J345" s="657"/>
      <c r="K345" s="658"/>
      <c r="L345" s="658"/>
    </row>
    <row r="346" spans="4:12" x14ac:dyDescent="0.25">
      <c r="D346" s="657"/>
      <c r="E346" s="753"/>
      <c r="I346" s="658"/>
      <c r="J346" s="657"/>
      <c r="K346" s="658"/>
      <c r="L346" s="658"/>
    </row>
    <row r="347" spans="4:12" x14ac:dyDescent="0.25">
      <c r="D347" s="657"/>
      <c r="E347" s="753"/>
      <c r="I347" s="658"/>
      <c r="J347" s="657"/>
      <c r="K347" s="658"/>
      <c r="L347" s="658"/>
    </row>
    <row r="348" spans="4:12" x14ac:dyDescent="0.25">
      <c r="D348" s="657"/>
      <c r="E348" s="753"/>
      <c r="I348" s="658"/>
      <c r="J348" s="657"/>
      <c r="K348" s="658"/>
      <c r="L348" s="658"/>
    </row>
    <row r="349" spans="4:12" x14ac:dyDescent="0.25">
      <c r="D349" s="657"/>
      <c r="E349" s="753"/>
      <c r="I349" s="658"/>
      <c r="J349" s="657"/>
      <c r="K349" s="658"/>
      <c r="L349" s="658"/>
    </row>
    <row r="350" spans="4:12" x14ac:dyDescent="0.25">
      <c r="D350" s="657"/>
      <c r="E350" s="753"/>
      <c r="I350" s="658"/>
      <c r="J350" s="657"/>
      <c r="K350" s="658"/>
      <c r="L350" s="658"/>
    </row>
    <row r="351" spans="4:12" x14ac:dyDescent="0.25">
      <c r="D351" s="657"/>
      <c r="E351" s="753"/>
      <c r="I351" s="658"/>
      <c r="J351" s="657"/>
      <c r="K351" s="658"/>
      <c r="L351" s="658"/>
    </row>
    <row r="352" spans="4:12" x14ac:dyDescent="0.25">
      <c r="D352" s="657"/>
      <c r="E352" s="753"/>
      <c r="I352" s="658"/>
      <c r="J352" s="657"/>
      <c r="K352" s="658"/>
      <c r="L352" s="658"/>
    </row>
    <row r="353" spans="4:12" x14ac:dyDescent="0.25">
      <c r="D353" s="657"/>
      <c r="E353" s="753"/>
      <c r="I353" s="658"/>
      <c r="J353" s="657"/>
      <c r="K353" s="658"/>
      <c r="L353" s="658"/>
    </row>
    <row r="354" spans="4:12" x14ac:dyDescent="0.25">
      <c r="D354" s="657"/>
      <c r="E354" s="753"/>
      <c r="I354" s="658"/>
      <c r="J354" s="657"/>
      <c r="K354" s="658"/>
      <c r="L354" s="658"/>
    </row>
    <row r="355" spans="4:12" x14ac:dyDescent="0.25">
      <c r="D355" s="657"/>
      <c r="E355" s="753"/>
      <c r="I355" s="658"/>
      <c r="J355" s="657"/>
      <c r="K355" s="658"/>
      <c r="L355" s="658"/>
    </row>
    <row r="356" spans="4:12" x14ac:dyDescent="0.25">
      <c r="D356" s="657"/>
      <c r="E356" s="753"/>
      <c r="I356" s="658"/>
      <c r="J356" s="657"/>
      <c r="K356" s="658"/>
      <c r="L356" s="658"/>
    </row>
    <row r="357" spans="4:12" x14ac:dyDescent="0.25">
      <c r="D357" s="657"/>
      <c r="E357" s="753"/>
      <c r="I357" s="658"/>
      <c r="J357" s="657"/>
      <c r="K357" s="658"/>
      <c r="L357" s="658"/>
    </row>
    <row r="358" spans="4:12" x14ac:dyDescent="0.25">
      <c r="D358" s="657"/>
      <c r="E358" s="753"/>
      <c r="I358" s="658"/>
      <c r="J358" s="657"/>
      <c r="K358" s="658"/>
      <c r="L358" s="658"/>
    </row>
    <row r="359" spans="4:12" x14ac:dyDescent="0.25">
      <c r="D359" s="657"/>
      <c r="E359" s="753"/>
      <c r="I359" s="658"/>
      <c r="J359" s="657"/>
      <c r="K359" s="658"/>
      <c r="L359" s="658"/>
    </row>
    <row r="360" spans="4:12" x14ac:dyDescent="0.25">
      <c r="D360" s="657"/>
      <c r="E360" s="753"/>
      <c r="I360" s="658"/>
      <c r="J360" s="657"/>
      <c r="K360" s="658"/>
      <c r="L360" s="658"/>
    </row>
    <row r="361" spans="4:12" x14ac:dyDescent="0.25">
      <c r="D361" s="657"/>
      <c r="E361" s="753"/>
      <c r="I361" s="658"/>
      <c r="J361" s="657"/>
      <c r="K361" s="658"/>
      <c r="L361" s="658"/>
    </row>
    <row r="362" spans="4:12" x14ac:dyDescent="0.25">
      <c r="D362" s="657"/>
      <c r="E362" s="753"/>
      <c r="I362" s="658"/>
      <c r="J362" s="657"/>
      <c r="K362" s="658"/>
      <c r="L362" s="658"/>
    </row>
    <row r="363" spans="4:12" x14ac:dyDescent="0.25">
      <c r="D363" s="657"/>
      <c r="E363" s="753"/>
      <c r="I363" s="658"/>
      <c r="J363" s="657"/>
      <c r="K363" s="658"/>
      <c r="L363" s="658"/>
    </row>
    <row r="364" spans="4:12" x14ac:dyDescent="0.25">
      <c r="D364" s="657"/>
      <c r="E364" s="753"/>
      <c r="I364" s="658"/>
      <c r="J364" s="657"/>
      <c r="K364" s="658"/>
      <c r="L364" s="658"/>
    </row>
    <row r="365" spans="4:12" x14ac:dyDescent="0.25">
      <c r="D365" s="657"/>
      <c r="E365" s="753"/>
      <c r="I365" s="658"/>
      <c r="J365" s="657"/>
      <c r="K365" s="658"/>
      <c r="L365" s="658"/>
    </row>
    <row r="366" spans="4:12" x14ac:dyDescent="0.25">
      <c r="D366" s="657"/>
      <c r="E366" s="753"/>
      <c r="I366" s="658"/>
      <c r="J366" s="657"/>
      <c r="K366" s="658"/>
      <c r="L366" s="658"/>
    </row>
    <row r="367" spans="4:12" x14ac:dyDescent="0.25">
      <c r="D367" s="657"/>
      <c r="E367" s="753"/>
      <c r="I367" s="658"/>
      <c r="J367" s="657"/>
      <c r="K367" s="658"/>
      <c r="L367" s="658"/>
    </row>
    <row r="368" spans="4:12" x14ac:dyDescent="0.25">
      <c r="D368" s="657"/>
      <c r="E368" s="753"/>
      <c r="I368" s="658"/>
      <c r="J368" s="657"/>
      <c r="K368" s="658"/>
      <c r="L368" s="658"/>
    </row>
    <row r="369" spans="4:12" x14ac:dyDescent="0.25">
      <c r="D369" s="657"/>
      <c r="E369" s="753"/>
      <c r="I369" s="658"/>
      <c r="J369" s="657"/>
      <c r="K369" s="658"/>
      <c r="L369" s="658"/>
    </row>
    <row r="370" spans="4:12" x14ac:dyDescent="0.25">
      <c r="D370" s="657"/>
      <c r="E370" s="753"/>
      <c r="I370" s="658"/>
      <c r="J370" s="657"/>
      <c r="K370" s="658"/>
      <c r="L370" s="658"/>
    </row>
    <row r="371" spans="4:12" x14ac:dyDescent="0.25">
      <c r="D371" s="657"/>
      <c r="E371" s="753"/>
      <c r="I371" s="658"/>
      <c r="J371" s="657"/>
      <c r="K371" s="658"/>
      <c r="L371" s="658"/>
    </row>
    <row r="372" spans="4:12" x14ac:dyDescent="0.25">
      <c r="D372" s="657"/>
      <c r="E372" s="753"/>
      <c r="I372" s="658"/>
      <c r="J372" s="657"/>
      <c r="K372" s="658"/>
      <c r="L372" s="658"/>
    </row>
    <row r="373" spans="4:12" x14ac:dyDescent="0.25">
      <c r="D373" s="657"/>
      <c r="E373" s="753"/>
      <c r="I373" s="658"/>
      <c r="J373" s="657"/>
      <c r="K373" s="658"/>
      <c r="L373" s="658"/>
    </row>
    <row r="374" spans="4:12" x14ac:dyDescent="0.25">
      <c r="D374" s="657"/>
      <c r="E374" s="753"/>
      <c r="I374" s="658"/>
      <c r="J374" s="657"/>
      <c r="K374" s="658"/>
      <c r="L374" s="658"/>
    </row>
    <row r="375" spans="4:12" x14ac:dyDescent="0.25">
      <c r="D375" s="657"/>
      <c r="E375" s="753"/>
      <c r="I375" s="658"/>
      <c r="J375" s="657"/>
      <c r="K375" s="658"/>
      <c r="L375" s="658"/>
    </row>
    <row r="376" spans="4:12" x14ac:dyDescent="0.25">
      <c r="D376" s="657"/>
      <c r="E376" s="753"/>
      <c r="I376" s="658"/>
      <c r="J376" s="657"/>
      <c r="K376" s="658"/>
      <c r="L376" s="658"/>
    </row>
    <row r="377" spans="4:12" x14ac:dyDescent="0.25">
      <c r="D377" s="657"/>
      <c r="E377" s="753"/>
      <c r="I377" s="658"/>
      <c r="J377" s="657"/>
      <c r="K377" s="658"/>
      <c r="L377" s="658"/>
    </row>
    <row r="378" spans="4:12" x14ac:dyDescent="0.25">
      <c r="D378" s="657"/>
      <c r="E378" s="753"/>
      <c r="I378" s="658"/>
      <c r="J378" s="657"/>
      <c r="K378" s="658"/>
      <c r="L378" s="658"/>
    </row>
    <row r="379" spans="4:12" x14ac:dyDescent="0.25">
      <c r="D379" s="657"/>
      <c r="E379" s="753"/>
      <c r="I379" s="658"/>
      <c r="J379" s="657"/>
      <c r="K379" s="658"/>
      <c r="L379" s="658"/>
    </row>
    <row r="380" spans="4:12" x14ac:dyDescent="0.25">
      <c r="D380" s="657"/>
      <c r="E380" s="753"/>
      <c r="I380" s="658"/>
      <c r="J380" s="657"/>
      <c r="K380" s="658"/>
      <c r="L380" s="658"/>
    </row>
    <row r="381" spans="4:12" x14ac:dyDescent="0.25">
      <c r="D381" s="657"/>
      <c r="E381" s="753"/>
      <c r="I381" s="658"/>
      <c r="J381" s="657"/>
      <c r="K381" s="658"/>
      <c r="L381" s="658"/>
    </row>
    <row r="382" spans="4:12" x14ac:dyDescent="0.25">
      <c r="D382" s="657"/>
      <c r="E382" s="753"/>
      <c r="I382" s="658"/>
      <c r="J382" s="657"/>
      <c r="K382" s="658"/>
      <c r="L382" s="658"/>
    </row>
    <row r="383" spans="4:12" x14ac:dyDescent="0.25">
      <c r="D383" s="657"/>
      <c r="E383" s="753"/>
      <c r="I383" s="658"/>
      <c r="J383" s="657"/>
      <c r="K383" s="658"/>
      <c r="L383" s="658"/>
    </row>
    <row r="384" spans="4:12" x14ac:dyDescent="0.25">
      <c r="D384" s="657"/>
      <c r="E384" s="753"/>
      <c r="I384" s="658"/>
      <c r="J384" s="657"/>
      <c r="K384" s="658"/>
      <c r="L384" s="658"/>
    </row>
    <row r="385" spans="4:12" x14ac:dyDescent="0.25">
      <c r="D385" s="657"/>
      <c r="E385" s="753"/>
      <c r="I385" s="658"/>
      <c r="J385" s="657"/>
      <c r="K385" s="658"/>
      <c r="L385" s="658"/>
    </row>
    <row r="386" spans="4:12" x14ac:dyDescent="0.25">
      <c r="D386" s="657"/>
      <c r="E386" s="753"/>
      <c r="I386" s="658"/>
      <c r="J386" s="657"/>
      <c r="K386" s="658"/>
      <c r="L386" s="658"/>
    </row>
    <row r="387" spans="4:12" x14ac:dyDescent="0.25">
      <c r="D387" s="657"/>
      <c r="E387" s="753"/>
      <c r="I387" s="658"/>
      <c r="J387" s="657"/>
      <c r="K387" s="658"/>
      <c r="L387" s="658"/>
    </row>
    <row r="388" spans="4:12" x14ac:dyDescent="0.25">
      <c r="D388" s="657"/>
      <c r="E388" s="753"/>
      <c r="I388" s="658"/>
      <c r="J388" s="657"/>
      <c r="K388" s="658"/>
      <c r="L388" s="658"/>
    </row>
    <row r="389" spans="4:12" x14ac:dyDescent="0.25">
      <c r="D389" s="657"/>
      <c r="E389" s="753"/>
      <c r="I389" s="658"/>
      <c r="J389" s="657"/>
      <c r="K389" s="658"/>
      <c r="L389" s="658"/>
    </row>
    <row r="390" spans="4:12" x14ac:dyDescent="0.25">
      <c r="D390" s="657"/>
      <c r="E390" s="753"/>
      <c r="I390" s="658"/>
      <c r="J390" s="657"/>
      <c r="K390" s="658"/>
      <c r="L390" s="658"/>
    </row>
    <row r="391" spans="4:12" x14ac:dyDescent="0.25">
      <c r="D391" s="657"/>
      <c r="E391" s="753"/>
      <c r="I391" s="658"/>
      <c r="J391" s="657"/>
      <c r="K391" s="658"/>
      <c r="L391" s="658"/>
    </row>
    <row r="392" spans="4:12" x14ac:dyDescent="0.25">
      <c r="D392" s="657"/>
      <c r="E392" s="753"/>
      <c r="I392" s="658"/>
      <c r="J392" s="657"/>
      <c r="K392" s="658"/>
      <c r="L392" s="658"/>
    </row>
    <row r="393" spans="4:12" x14ac:dyDescent="0.25">
      <c r="D393" s="657"/>
      <c r="E393" s="753"/>
      <c r="I393" s="658"/>
      <c r="J393" s="657"/>
      <c r="K393" s="658"/>
      <c r="L393" s="658"/>
    </row>
    <row r="394" spans="4:12" x14ac:dyDescent="0.25">
      <c r="D394" s="657"/>
      <c r="E394" s="753"/>
      <c r="I394" s="658"/>
      <c r="J394" s="657"/>
      <c r="K394" s="658"/>
      <c r="L394" s="658"/>
    </row>
    <row r="395" spans="4:12" x14ac:dyDescent="0.25">
      <c r="D395" s="657"/>
      <c r="E395" s="753"/>
      <c r="I395" s="658"/>
      <c r="J395" s="657"/>
      <c r="K395" s="658"/>
      <c r="L395" s="658"/>
    </row>
    <row r="396" spans="4:12" x14ac:dyDescent="0.25">
      <c r="D396" s="657"/>
      <c r="E396" s="753"/>
      <c r="I396" s="658"/>
      <c r="J396" s="657"/>
      <c r="K396" s="658"/>
      <c r="L396" s="658"/>
    </row>
    <row r="397" spans="4:12" x14ac:dyDescent="0.25">
      <c r="D397" s="657"/>
      <c r="E397" s="753"/>
      <c r="I397" s="658"/>
      <c r="J397" s="657"/>
      <c r="K397" s="658"/>
      <c r="L397" s="658"/>
    </row>
    <row r="398" spans="4:12" x14ac:dyDescent="0.25">
      <c r="D398" s="657"/>
      <c r="E398" s="753"/>
      <c r="I398" s="658"/>
      <c r="J398" s="657"/>
      <c r="K398" s="658"/>
      <c r="L398" s="658"/>
    </row>
    <row r="399" spans="4:12" x14ac:dyDescent="0.25">
      <c r="D399" s="657"/>
      <c r="E399" s="753"/>
      <c r="I399" s="658"/>
      <c r="J399" s="657"/>
      <c r="K399" s="658"/>
      <c r="L399" s="658"/>
    </row>
    <row r="400" spans="4:12" x14ac:dyDescent="0.25">
      <c r="D400" s="657"/>
      <c r="E400" s="753"/>
      <c r="I400" s="658"/>
      <c r="J400" s="657"/>
      <c r="K400" s="658"/>
      <c r="L400" s="658"/>
    </row>
    <row r="401" spans="4:12" x14ac:dyDescent="0.25">
      <c r="D401" s="657"/>
      <c r="E401" s="753"/>
      <c r="I401" s="658"/>
      <c r="J401" s="657"/>
      <c r="K401" s="658"/>
      <c r="L401" s="658"/>
    </row>
    <row r="402" spans="4:12" x14ac:dyDescent="0.25">
      <c r="D402" s="657"/>
      <c r="E402" s="753"/>
      <c r="I402" s="658"/>
      <c r="J402" s="657"/>
      <c r="K402" s="658"/>
      <c r="L402" s="658"/>
    </row>
    <row r="403" spans="4:12" x14ac:dyDescent="0.25">
      <c r="D403" s="657"/>
      <c r="E403" s="753"/>
      <c r="I403" s="658"/>
      <c r="J403" s="657"/>
      <c r="K403" s="658"/>
      <c r="L403" s="658"/>
    </row>
    <row r="404" spans="4:12" x14ac:dyDescent="0.25">
      <c r="D404" s="657"/>
      <c r="E404" s="753"/>
      <c r="I404" s="658"/>
      <c r="J404" s="657"/>
      <c r="K404" s="658"/>
      <c r="L404" s="658"/>
    </row>
    <row r="405" spans="4:12" x14ac:dyDescent="0.25">
      <c r="D405" s="657"/>
      <c r="E405" s="753"/>
      <c r="I405" s="658"/>
      <c r="J405" s="657"/>
      <c r="K405" s="658"/>
      <c r="L405" s="658"/>
    </row>
    <row r="406" spans="4:12" x14ac:dyDescent="0.25">
      <c r="D406" s="657"/>
      <c r="E406" s="753"/>
      <c r="I406" s="658"/>
      <c r="J406" s="657"/>
      <c r="K406" s="658"/>
      <c r="L406" s="658"/>
    </row>
    <row r="407" spans="4:12" x14ac:dyDescent="0.25">
      <c r="D407" s="657"/>
      <c r="E407" s="753"/>
      <c r="I407" s="658"/>
      <c r="J407" s="657"/>
      <c r="K407" s="658"/>
      <c r="L407" s="658"/>
    </row>
    <row r="408" spans="4:12" x14ac:dyDescent="0.25">
      <c r="D408" s="657"/>
      <c r="E408" s="753"/>
      <c r="I408" s="658"/>
      <c r="J408" s="657"/>
      <c r="K408" s="658"/>
      <c r="L408" s="658"/>
    </row>
    <row r="409" spans="4:12" x14ac:dyDescent="0.25">
      <c r="D409" s="657"/>
      <c r="E409" s="753"/>
      <c r="I409" s="658"/>
      <c r="J409" s="657"/>
      <c r="K409" s="658"/>
      <c r="L409" s="658"/>
    </row>
    <row r="410" spans="4:12" x14ac:dyDescent="0.25">
      <c r="D410" s="657"/>
      <c r="E410" s="753"/>
      <c r="I410" s="658"/>
      <c r="J410" s="657"/>
      <c r="K410" s="658"/>
      <c r="L410" s="658"/>
    </row>
    <row r="411" spans="4:12" x14ac:dyDescent="0.25">
      <c r="D411" s="657"/>
      <c r="E411" s="753"/>
      <c r="I411" s="658"/>
      <c r="J411" s="657"/>
      <c r="K411" s="658"/>
      <c r="L411" s="658"/>
    </row>
    <row r="412" spans="4:12" x14ac:dyDescent="0.25">
      <c r="D412" s="657"/>
      <c r="E412" s="753"/>
      <c r="I412" s="658"/>
      <c r="J412" s="657"/>
      <c r="K412" s="658"/>
      <c r="L412" s="658"/>
    </row>
    <row r="413" spans="4:12" x14ac:dyDescent="0.25">
      <c r="D413" s="657"/>
      <c r="E413" s="753"/>
      <c r="I413" s="658"/>
      <c r="J413" s="657"/>
      <c r="K413" s="658"/>
      <c r="L413" s="658"/>
    </row>
    <row r="414" spans="4:12" x14ac:dyDescent="0.25">
      <c r="D414" s="657"/>
      <c r="E414" s="753"/>
      <c r="I414" s="658"/>
      <c r="J414" s="657"/>
      <c r="K414" s="658"/>
      <c r="L414" s="658"/>
    </row>
    <row r="415" spans="4:12" x14ac:dyDescent="0.25">
      <c r="D415" s="657"/>
      <c r="E415" s="753"/>
      <c r="I415" s="658"/>
      <c r="J415" s="657"/>
      <c r="K415" s="658"/>
      <c r="L415" s="658"/>
    </row>
    <row r="416" spans="4:12" x14ac:dyDescent="0.25">
      <c r="D416" s="657"/>
      <c r="E416" s="753"/>
      <c r="I416" s="658"/>
      <c r="J416" s="657"/>
      <c r="K416" s="658"/>
      <c r="L416" s="658"/>
    </row>
    <row r="417" spans="4:12" x14ac:dyDescent="0.25">
      <c r="D417" s="657"/>
      <c r="E417" s="753"/>
      <c r="I417" s="658"/>
      <c r="J417" s="657"/>
      <c r="K417" s="658"/>
      <c r="L417" s="658"/>
    </row>
    <row r="418" spans="4:12" x14ac:dyDescent="0.25">
      <c r="D418" s="657"/>
      <c r="E418" s="753"/>
      <c r="I418" s="658"/>
      <c r="J418" s="657"/>
      <c r="K418" s="658"/>
      <c r="L418" s="658"/>
    </row>
    <row r="419" spans="4:12" x14ac:dyDescent="0.25">
      <c r="D419" s="657"/>
      <c r="E419" s="753"/>
      <c r="I419" s="658"/>
      <c r="J419" s="657"/>
      <c r="K419" s="658"/>
      <c r="L419" s="658"/>
    </row>
    <row r="420" spans="4:12" x14ac:dyDescent="0.25">
      <c r="D420" s="657"/>
      <c r="E420" s="753"/>
      <c r="I420" s="658"/>
      <c r="J420" s="657"/>
      <c r="K420" s="658"/>
      <c r="L420" s="658"/>
    </row>
    <row r="421" spans="4:12" x14ac:dyDescent="0.25">
      <c r="D421" s="657"/>
      <c r="E421" s="753"/>
      <c r="I421" s="658"/>
      <c r="J421" s="657"/>
      <c r="K421" s="658"/>
      <c r="L421" s="658"/>
    </row>
    <row r="422" spans="4:12" x14ac:dyDescent="0.25">
      <c r="D422" s="657"/>
      <c r="E422" s="753"/>
      <c r="I422" s="658"/>
      <c r="J422" s="657"/>
      <c r="K422" s="658"/>
      <c r="L422" s="658"/>
    </row>
    <row r="423" spans="4:12" x14ac:dyDescent="0.25">
      <c r="D423" s="657"/>
      <c r="E423" s="753"/>
      <c r="I423" s="658"/>
      <c r="J423" s="657"/>
      <c r="K423" s="658"/>
      <c r="L423" s="658"/>
    </row>
    <row r="424" spans="4:12" x14ac:dyDescent="0.25">
      <c r="D424" s="657"/>
      <c r="E424" s="753"/>
      <c r="I424" s="658"/>
      <c r="J424" s="657"/>
      <c r="K424" s="658"/>
      <c r="L424" s="658"/>
    </row>
    <row r="425" spans="4:12" x14ac:dyDescent="0.25">
      <c r="D425" s="657"/>
      <c r="E425" s="753"/>
      <c r="I425" s="658"/>
      <c r="J425" s="657"/>
      <c r="K425" s="658"/>
      <c r="L425" s="658"/>
    </row>
    <row r="426" spans="4:12" x14ac:dyDescent="0.25">
      <c r="D426" s="657"/>
      <c r="E426" s="753"/>
      <c r="I426" s="658"/>
      <c r="J426" s="657"/>
      <c r="K426" s="658"/>
      <c r="L426" s="658"/>
    </row>
    <row r="427" spans="4:12" x14ac:dyDescent="0.25">
      <c r="D427" s="657"/>
      <c r="E427" s="753"/>
      <c r="I427" s="658"/>
      <c r="J427" s="657"/>
      <c r="K427" s="658"/>
      <c r="L427" s="658"/>
    </row>
    <row r="428" spans="4:12" x14ac:dyDescent="0.25">
      <c r="D428" s="657"/>
      <c r="E428" s="753"/>
      <c r="I428" s="658"/>
      <c r="J428" s="657"/>
      <c r="K428" s="658"/>
      <c r="L428" s="658"/>
    </row>
    <row r="429" spans="4:12" x14ac:dyDescent="0.25">
      <c r="D429" s="657"/>
      <c r="E429" s="753"/>
      <c r="I429" s="658"/>
      <c r="J429" s="657"/>
      <c r="K429" s="658"/>
      <c r="L429" s="658"/>
    </row>
    <row r="430" spans="4:12" x14ac:dyDescent="0.25">
      <c r="D430" s="657"/>
      <c r="E430" s="753"/>
      <c r="I430" s="658"/>
      <c r="J430" s="657"/>
      <c r="K430" s="658"/>
      <c r="L430" s="658"/>
    </row>
    <row r="431" spans="4:12" x14ac:dyDescent="0.25">
      <c r="D431" s="657"/>
      <c r="E431" s="753"/>
      <c r="I431" s="658"/>
      <c r="J431" s="657"/>
      <c r="K431" s="658"/>
      <c r="L431" s="658"/>
    </row>
    <row r="432" spans="4:12" x14ac:dyDescent="0.25">
      <c r="D432" s="657"/>
      <c r="E432" s="753"/>
      <c r="I432" s="658"/>
      <c r="J432" s="657"/>
      <c r="K432" s="658"/>
      <c r="L432" s="658"/>
    </row>
    <row r="433" spans="4:12" x14ac:dyDescent="0.25">
      <c r="D433" s="657"/>
      <c r="E433" s="753"/>
      <c r="I433" s="658"/>
      <c r="J433" s="657"/>
      <c r="K433" s="658"/>
      <c r="L433" s="658"/>
    </row>
    <row r="434" spans="4:12" x14ac:dyDescent="0.25">
      <c r="D434" s="657"/>
      <c r="E434" s="753"/>
      <c r="I434" s="658"/>
      <c r="J434" s="657"/>
      <c r="K434" s="658"/>
      <c r="L434" s="658"/>
    </row>
    <row r="435" spans="4:12" x14ac:dyDescent="0.25">
      <c r="D435" s="657"/>
      <c r="E435" s="753"/>
      <c r="I435" s="658"/>
      <c r="J435" s="657"/>
      <c r="K435" s="658"/>
      <c r="L435" s="658"/>
    </row>
    <row r="436" spans="4:12" x14ac:dyDescent="0.25">
      <c r="D436" s="657"/>
      <c r="E436" s="753"/>
      <c r="I436" s="658"/>
      <c r="J436" s="657"/>
      <c r="K436" s="658"/>
      <c r="L436" s="658"/>
    </row>
    <row r="437" spans="4:12" x14ac:dyDescent="0.25">
      <c r="D437" s="657"/>
      <c r="E437" s="753"/>
      <c r="I437" s="658"/>
      <c r="J437" s="657"/>
      <c r="K437" s="658"/>
      <c r="L437" s="658"/>
    </row>
    <row r="438" spans="4:12" x14ac:dyDescent="0.25">
      <c r="D438" s="657"/>
      <c r="E438" s="753"/>
      <c r="I438" s="658"/>
      <c r="J438" s="657"/>
      <c r="K438" s="658"/>
      <c r="L438" s="658"/>
    </row>
    <row r="439" spans="4:12" x14ac:dyDescent="0.25">
      <c r="D439" s="657"/>
      <c r="E439" s="753"/>
      <c r="I439" s="658"/>
      <c r="J439" s="657"/>
      <c r="K439" s="658"/>
      <c r="L439" s="658"/>
    </row>
    <row r="440" spans="4:12" x14ac:dyDescent="0.25">
      <c r="D440" s="657"/>
      <c r="E440" s="753"/>
      <c r="I440" s="658"/>
      <c r="J440" s="657"/>
      <c r="K440" s="658"/>
      <c r="L440" s="658"/>
    </row>
    <row r="441" spans="4:12" x14ac:dyDescent="0.25">
      <c r="D441" s="657"/>
      <c r="E441" s="753"/>
      <c r="I441" s="658"/>
      <c r="J441" s="657"/>
      <c r="K441" s="658"/>
      <c r="L441" s="658"/>
    </row>
    <row r="442" spans="4:12" x14ac:dyDescent="0.25">
      <c r="D442" s="657"/>
      <c r="E442" s="753"/>
      <c r="I442" s="658"/>
      <c r="J442" s="657"/>
      <c r="K442" s="658"/>
      <c r="L442" s="658"/>
    </row>
    <row r="443" spans="4:12" x14ac:dyDescent="0.25">
      <c r="D443" s="657"/>
      <c r="E443" s="753"/>
      <c r="I443" s="658"/>
      <c r="J443" s="657"/>
      <c r="K443" s="658"/>
      <c r="L443" s="658"/>
    </row>
    <row r="444" spans="4:12" x14ac:dyDescent="0.25">
      <c r="D444" s="657"/>
      <c r="E444" s="753"/>
      <c r="I444" s="658"/>
      <c r="J444" s="657"/>
      <c r="K444" s="658"/>
      <c r="L444" s="658"/>
    </row>
    <row r="445" spans="4:12" x14ac:dyDescent="0.25">
      <c r="D445" s="657"/>
      <c r="E445" s="753"/>
      <c r="I445" s="658"/>
      <c r="J445" s="657"/>
      <c r="K445" s="658"/>
      <c r="L445" s="658"/>
    </row>
    <row r="446" spans="4:12" x14ac:dyDescent="0.25">
      <c r="D446" s="657"/>
      <c r="E446" s="753"/>
      <c r="I446" s="658"/>
      <c r="J446" s="657"/>
      <c r="K446" s="658"/>
      <c r="L446" s="658"/>
    </row>
    <row r="447" spans="4:12" x14ac:dyDescent="0.25">
      <c r="D447" s="657"/>
      <c r="E447" s="753"/>
      <c r="I447" s="658"/>
      <c r="J447" s="657"/>
      <c r="K447" s="658"/>
      <c r="L447" s="658"/>
    </row>
    <row r="448" spans="4:12" x14ac:dyDescent="0.25">
      <c r="D448" s="657"/>
      <c r="E448" s="753"/>
      <c r="I448" s="658"/>
      <c r="J448" s="657"/>
      <c r="K448" s="658"/>
      <c r="L448" s="658"/>
    </row>
    <row r="449" spans="4:12" x14ac:dyDescent="0.25">
      <c r="D449" s="657"/>
      <c r="E449" s="753"/>
      <c r="I449" s="658"/>
      <c r="J449" s="657"/>
      <c r="K449" s="658"/>
      <c r="L449" s="658"/>
    </row>
    <row r="450" spans="4:12" x14ac:dyDescent="0.25">
      <c r="D450" s="657"/>
      <c r="E450" s="753"/>
      <c r="I450" s="658"/>
      <c r="J450" s="657"/>
      <c r="K450" s="658"/>
      <c r="L450" s="658"/>
    </row>
    <row r="451" spans="4:12" x14ac:dyDescent="0.25">
      <c r="D451" s="657"/>
      <c r="E451" s="753"/>
      <c r="I451" s="658"/>
      <c r="J451" s="657"/>
      <c r="K451" s="658"/>
      <c r="L451" s="658"/>
    </row>
    <row r="452" spans="4:12" x14ac:dyDescent="0.25">
      <c r="D452" s="657"/>
      <c r="E452" s="753"/>
      <c r="I452" s="658"/>
      <c r="J452" s="657"/>
      <c r="K452" s="658"/>
      <c r="L452" s="658"/>
    </row>
    <row r="453" spans="4:12" x14ac:dyDescent="0.25">
      <c r="D453" s="657"/>
      <c r="E453" s="753"/>
      <c r="I453" s="658"/>
      <c r="J453" s="657"/>
      <c r="K453" s="658"/>
      <c r="L453" s="658"/>
    </row>
    <row r="454" spans="4:12" x14ac:dyDescent="0.25">
      <c r="D454" s="657"/>
      <c r="E454" s="753"/>
      <c r="I454" s="658"/>
      <c r="J454" s="657"/>
      <c r="K454" s="658"/>
      <c r="L454" s="658"/>
    </row>
    <row r="455" spans="4:12" x14ac:dyDescent="0.25">
      <c r="D455" s="657"/>
      <c r="E455" s="753"/>
      <c r="I455" s="658"/>
      <c r="J455" s="657"/>
      <c r="K455" s="658"/>
      <c r="L455" s="658"/>
    </row>
    <row r="456" spans="4:12" x14ac:dyDescent="0.25">
      <c r="D456" s="657"/>
      <c r="E456" s="753"/>
      <c r="I456" s="658"/>
      <c r="J456" s="657"/>
      <c r="K456" s="658"/>
      <c r="L456" s="658"/>
    </row>
    <row r="457" spans="4:12" x14ac:dyDescent="0.25">
      <c r="D457" s="657"/>
      <c r="E457" s="753"/>
      <c r="I457" s="658"/>
      <c r="J457" s="657"/>
      <c r="K457" s="658"/>
      <c r="L457" s="658"/>
    </row>
    <row r="458" spans="4:12" x14ac:dyDescent="0.25">
      <c r="D458" s="657"/>
      <c r="E458" s="753"/>
      <c r="I458" s="658"/>
      <c r="J458" s="657"/>
      <c r="K458" s="658"/>
      <c r="L458" s="658"/>
    </row>
    <row r="459" spans="4:12" x14ac:dyDescent="0.25">
      <c r="D459" s="657"/>
      <c r="E459" s="753"/>
      <c r="I459" s="658"/>
      <c r="J459" s="657"/>
      <c r="K459" s="658"/>
      <c r="L459" s="658"/>
    </row>
    <row r="460" spans="4:12" x14ac:dyDescent="0.25">
      <c r="D460" s="657"/>
      <c r="E460" s="753"/>
      <c r="I460" s="658"/>
      <c r="J460" s="657"/>
      <c r="K460" s="658"/>
      <c r="L460" s="658"/>
    </row>
    <row r="461" spans="4:12" x14ac:dyDescent="0.25">
      <c r="D461" s="657"/>
      <c r="E461" s="753"/>
      <c r="I461" s="658"/>
      <c r="J461" s="657"/>
      <c r="K461" s="658"/>
      <c r="L461" s="658"/>
    </row>
    <row r="462" spans="4:12" x14ac:dyDescent="0.25">
      <c r="D462" s="657"/>
      <c r="E462" s="753"/>
      <c r="I462" s="658"/>
      <c r="J462" s="657"/>
      <c r="K462" s="658"/>
      <c r="L462" s="658"/>
    </row>
    <row r="463" spans="4:12" x14ac:dyDescent="0.25">
      <c r="D463" s="657"/>
      <c r="E463" s="753"/>
      <c r="I463" s="658"/>
      <c r="J463" s="657"/>
      <c r="K463" s="658"/>
      <c r="L463" s="658"/>
    </row>
    <row r="464" spans="4:12" x14ac:dyDescent="0.25">
      <c r="D464" s="657"/>
      <c r="E464" s="753"/>
      <c r="I464" s="658"/>
      <c r="J464" s="657"/>
      <c r="K464" s="658"/>
      <c r="L464" s="658"/>
    </row>
    <row r="465" spans="4:12" x14ac:dyDescent="0.25">
      <c r="D465" s="657"/>
      <c r="E465" s="753"/>
      <c r="I465" s="658"/>
      <c r="J465" s="657"/>
      <c r="K465" s="658"/>
      <c r="L465" s="658"/>
    </row>
    <row r="466" spans="4:12" x14ac:dyDescent="0.25">
      <c r="D466" s="657"/>
      <c r="E466" s="753"/>
      <c r="I466" s="658"/>
      <c r="J466" s="657"/>
      <c r="K466" s="658"/>
      <c r="L466" s="658"/>
    </row>
    <row r="467" spans="4:12" x14ac:dyDescent="0.25">
      <c r="D467" s="657"/>
      <c r="E467" s="753"/>
      <c r="I467" s="658"/>
      <c r="J467" s="657"/>
      <c r="K467" s="658"/>
      <c r="L467" s="658"/>
    </row>
    <row r="468" spans="4:12" x14ac:dyDescent="0.25">
      <c r="D468" s="657"/>
      <c r="E468" s="753"/>
      <c r="I468" s="658"/>
      <c r="J468" s="657"/>
      <c r="K468" s="658"/>
      <c r="L468" s="658"/>
    </row>
    <row r="469" spans="4:12" x14ac:dyDescent="0.25">
      <c r="D469" s="657"/>
      <c r="E469" s="753"/>
      <c r="I469" s="658"/>
      <c r="J469" s="657"/>
      <c r="K469" s="658"/>
      <c r="L469" s="658"/>
    </row>
    <row r="470" spans="4:12" x14ac:dyDescent="0.25">
      <c r="D470" s="657"/>
      <c r="E470" s="753"/>
      <c r="I470" s="658"/>
      <c r="J470" s="657"/>
      <c r="K470" s="658"/>
      <c r="L470" s="658"/>
    </row>
    <row r="471" spans="4:12" x14ac:dyDescent="0.25">
      <c r="D471" s="657"/>
      <c r="E471" s="753"/>
      <c r="I471" s="658"/>
      <c r="J471" s="657"/>
      <c r="K471" s="658"/>
      <c r="L471" s="658"/>
    </row>
    <row r="472" spans="4:12" x14ac:dyDescent="0.25">
      <c r="D472" s="657"/>
      <c r="E472" s="753"/>
      <c r="I472" s="658"/>
      <c r="J472" s="657"/>
      <c r="K472" s="658"/>
      <c r="L472" s="658"/>
    </row>
    <row r="473" spans="4:12" x14ac:dyDescent="0.25">
      <c r="D473" s="657"/>
      <c r="E473" s="753"/>
      <c r="I473" s="658"/>
      <c r="J473" s="657"/>
      <c r="K473" s="658"/>
      <c r="L473" s="658"/>
    </row>
    <row r="474" spans="4:12" x14ac:dyDescent="0.25">
      <c r="D474" s="657"/>
      <c r="E474" s="753"/>
      <c r="I474" s="658"/>
      <c r="J474" s="657"/>
      <c r="K474" s="658"/>
      <c r="L474" s="658"/>
    </row>
    <row r="475" spans="4:12" x14ac:dyDescent="0.25">
      <c r="D475" s="657"/>
      <c r="E475" s="753"/>
      <c r="I475" s="658"/>
      <c r="J475" s="657"/>
      <c r="K475" s="658"/>
      <c r="L475" s="658"/>
    </row>
    <row r="476" spans="4:12" x14ac:dyDescent="0.25">
      <c r="D476" s="657"/>
      <c r="E476" s="753"/>
      <c r="I476" s="658"/>
      <c r="J476" s="657"/>
      <c r="K476" s="658"/>
      <c r="L476" s="658"/>
    </row>
    <row r="477" spans="4:12" x14ac:dyDescent="0.25">
      <c r="D477" s="657"/>
      <c r="E477" s="753"/>
      <c r="I477" s="658"/>
      <c r="J477" s="657"/>
      <c r="K477" s="658"/>
      <c r="L477" s="658"/>
    </row>
    <row r="478" spans="4:12" x14ac:dyDescent="0.25">
      <c r="D478" s="657"/>
      <c r="E478" s="753"/>
      <c r="I478" s="658"/>
      <c r="J478" s="657"/>
      <c r="K478" s="658"/>
      <c r="L478" s="658"/>
    </row>
    <row r="479" spans="4:12" x14ac:dyDescent="0.25">
      <c r="D479" s="657"/>
      <c r="E479" s="753"/>
      <c r="I479" s="658"/>
      <c r="J479" s="657"/>
      <c r="K479" s="658"/>
      <c r="L479" s="658"/>
    </row>
    <row r="480" spans="4:12" x14ac:dyDescent="0.25">
      <c r="D480" s="657"/>
      <c r="E480" s="753"/>
      <c r="I480" s="658"/>
      <c r="J480" s="657"/>
      <c r="K480" s="658"/>
      <c r="L480" s="658"/>
    </row>
    <row r="481" spans="4:12" x14ac:dyDescent="0.25">
      <c r="D481" s="657"/>
      <c r="E481" s="753"/>
      <c r="I481" s="658"/>
      <c r="J481" s="657"/>
      <c r="K481" s="658"/>
      <c r="L481" s="658"/>
    </row>
    <row r="482" spans="4:12" x14ac:dyDescent="0.25">
      <c r="D482" s="657"/>
      <c r="E482" s="753"/>
      <c r="I482" s="658"/>
      <c r="J482" s="657"/>
      <c r="K482" s="658"/>
      <c r="L482" s="658"/>
    </row>
    <row r="483" spans="4:12" x14ac:dyDescent="0.25">
      <c r="D483" s="657"/>
      <c r="E483" s="753"/>
      <c r="I483" s="658"/>
      <c r="J483" s="657"/>
      <c r="K483" s="658"/>
      <c r="L483" s="658"/>
    </row>
    <row r="484" spans="4:12" x14ac:dyDescent="0.25">
      <c r="D484" s="657"/>
      <c r="E484" s="753"/>
      <c r="I484" s="658"/>
      <c r="J484" s="657"/>
      <c r="K484" s="658"/>
      <c r="L484" s="658"/>
    </row>
    <row r="485" spans="4:12" x14ac:dyDescent="0.25">
      <c r="D485" s="657"/>
      <c r="E485" s="753"/>
      <c r="I485" s="658"/>
      <c r="J485" s="657"/>
      <c r="K485" s="658"/>
      <c r="L485" s="658"/>
    </row>
    <row r="486" spans="4:12" x14ac:dyDescent="0.25">
      <c r="D486" s="657"/>
      <c r="E486" s="753"/>
      <c r="I486" s="658"/>
      <c r="J486" s="657"/>
      <c r="K486" s="658"/>
      <c r="L486" s="658"/>
    </row>
    <row r="487" spans="4:12" x14ac:dyDescent="0.25">
      <c r="D487" s="657"/>
      <c r="E487" s="753"/>
      <c r="I487" s="658"/>
      <c r="J487" s="657"/>
      <c r="K487" s="658"/>
      <c r="L487" s="658"/>
    </row>
    <row r="488" spans="4:12" x14ac:dyDescent="0.25">
      <c r="D488" s="657"/>
      <c r="E488" s="753"/>
      <c r="I488" s="658"/>
      <c r="J488" s="657"/>
      <c r="K488" s="658"/>
      <c r="L488" s="658"/>
    </row>
    <row r="489" spans="4:12" x14ac:dyDescent="0.25">
      <c r="D489" s="657"/>
      <c r="E489" s="753"/>
      <c r="I489" s="658"/>
      <c r="J489" s="657"/>
      <c r="K489" s="658"/>
      <c r="L489" s="658"/>
    </row>
    <row r="490" spans="4:12" x14ac:dyDescent="0.25">
      <c r="D490" s="657"/>
      <c r="E490" s="753"/>
      <c r="I490" s="658"/>
      <c r="J490" s="657"/>
      <c r="K490" s="658"/>
      <c r="L490" s="658"/>
    </row>
    <row r="491" spans="4:12" x14ac:dyDescent="0.25">
      <c r="D491" s="657"/>
      <c r="E491" s="753"/>
      <c r="I491" s="658"/>
      <c r="J491" s="657"/>
      <c r="K491" s="658"/>
      <c r="L491" s="658"/>
    </row>
    <row r="492" spans="4:12" x14ac:dyDescent="0.25">
      <c r="D492" s="657"/>
      <c r="E492" s="753"/>
      <c r="I492" s="658"/>
      <c r="J492" s="657"/>
      <c r="K492" s="658"/>
      <c r="L492" s="658"/>
    </row>
    <row r="493" spans="4:12" x14ac:dyDescent="0.25">
      <c r="D493" s="657"/>
      <c r="E493" s="753"/>
      <c r="I493" s="658"/>
      <c r="J493" s="657"/>
      <c r="K493" s="658"/>
      <c r="L493" s="658"/>
    </row>
    <row r="494" spans="4:12" x14ac:dyDescent="0.25">
      <c r="D494" s="657"/>
      <c r="E494" s="753"/>
      <c r="I494" s="658"/>
      <c r="J494" s="657"/>
      <c r="K494" s="658"/>
      <c r="L494" s="658"/>
    </row>
    <row r="495" spans="4:12" x14ac:dyDescent="0.25">
      <c r="D495" s="657"/>
      <c r="E495" s="753"/>
      <c r="I495" s="658"/>
      <c r="J495" s="657"/>
      <c r="K495" s="658"/>
      <c r="L495" s="658"/>
    </row>
    <row r="496" spans="4:12" x14ac:dyDescent="0.25">
      <c r="D496" s="657"/>
      <c r="E496" s="753"/>
      <c r="I496" s="658"/>
      <c r="J496" s="657"/>
      <c r="K496" s="658"/>
      <c r="L496" s="658"/>
    </row>
    <row r="497" spans="4:12" x14ac:dyDescent="0.25">
      <c r="D497" s="657"/>
      <c r="E497" s="753"/>
      <c r="I497" s="658"/>
      <c r="J497" s="657"/>
      <c r="K497" s="658"/>
      <c r="L497" s="658"/>
    </row>
    <row r="498" spans="4:12" x14ac:dyDescent="0.25">
      <c r="D498" s="657"/>
      <c r="E498" s="753"/>
      <c r="I498" s="658"/>
      <c r="J498" s="657"/>
      <c r="K498" s="658"/>
      <c r="L498" s="658"/>
    </row>
    <row r="499" spans="4:12" x14ac:dyDescent="0.25">
      <c r="D499" s="657"/>
      <c r="E499" s="753"/>
      <c r="I499" s="658"/>
      <c r="J499" s="657"/>
      <c r="K499" s="658"/>
      <c r="L499" s="658"/>
    </row>
    <row r="500" spans="4:12" x14ac:dyDescent="0.25">
      <c r="D500" s="657"/>
      <c r="E500" s="753"/>
      <c r="I500" s="658"/>
      <c r="J500" s="657"/>
      <c r="K500" s="658"/>
      <c r="L500" s="658"/>
    </row>
    <row r="501" spans="4:12" x14ac:dyDescent="0.25">
      <c r="D501" s="657"/>
      <c r="E501" s="753"/>
      <c r="I501" s="658"/>
      <c r="J501" s="657"/>
      <c r="K501" s="658"/>
      <c r="L501" s="658"/>
    </row>
    <row r="502" spans="4:12" x14ac:dyDescent="0.25">
      <c r="D502" s="657"/>
      <c r="E502" s="753"/>
      <c r="I502" s="658"/>
      <c r="J502" s="657"/>
      <c r="K502" s="658"/>
      <c r="L502" s="658"/>
    </row>
    <row r="503" spans="4:12" x14ac:dyDescent="0.25">
      <c r="D503" s="657"/>
      <c r="E503" s="753"/>
      <c r="I503" s="658"/>
      <c r="J503" s="657"/>
      <c r="K503" s="658"/>
      <c r="L503" s="658"/>
    </row>
    <row r="504" spans="4:12" x14ac:dyDescent="0.25">
      <c r="D504" s="657"/>
      <c r="E504" s="753"/>
      <c r="I504" s="658"/>
      <c r="J504" s="657"/>
      <c r="K504" s="658"/>
      <c r="L504" s="658"/>
    </row>
    <row r="505" spans="4:12" x14ac:dyDescent="0.25">
      <c r="D505" s="657"/>
      <c r="E505" s="753"/>
      <c r="I505" s="658"/>
      <c r="J505" s="657"/>
      <c r="K505" s="658"/>
      <c r="L505" s="658"/>
    </row>
    <row r="506" spans="4:12" x14ac:dyDescent="0.25">
      <c r="D506" s="657"/>
      <c r="E506" s="753"/>
      <c r="I506" s="658"/>
      <c r="J506" s="657"/>
      <c r="K506" s="658"/>
      <c r="L506" s="658"/>
    </row>
    <row r="507" spans="4:12" x14ac:dyDescent="0.25">
      <c r="D507" s="657"/>
      <c r="E507" s="753"/>
      <c r="I507" s="658"/>
      <c r="J507" s="657"/>
      <c r="K507" s="658"/>
      <c r="L507" s="658"/>
    </row>
    <row r="508" spans="4:12" x14ac:dyDescent="0.25">
      <c r="D508" s="657"/>
      <c r="E508" s="753"/>
      <c r="I508" s="658"/>
      <c r="J508" s="657"/>
      <c r="K508" s="658"/>
      <c r="L508" s="658"/>
    </row>
    <row r="509" spans="4:12" x14ac:dyDescent="0.25">
      <c r="D509" s="657"/>
      <c r="E509" s="753"/>
      <c r="I509" s="658"/>
      <c r="J509" s="657"/>
      <c r="K509" s="658"/>
      <c r="L509" s="658"/>
    </row>
    <row r="510" spans="4:12" x14ac:dyDescent="0.25">
      <c r="D510" s="657"/>
      <c r="E510" s="753"/>
      <c r="I510" s="658"/>
      <c r="J510" s="657"/>
      <c r="K510" s="658"/>
      <c r="L510" s="658"/>
    </row>
    <row r="511" spans="4:12" x14ac:dyDescent="0.25">
      <c r="D511" s="657"/>
      <c r="E511" s="753"/>
      <c r="I511" s="658"/>
      <c r="J511" s="657"/>
      <c r="K511" s="658"/>
      <c r="L511" s="658"/>
    </row>
    <row r="512" spans="4:12" x14ac:dyDescent="0.25">
      <c r="D512" s="657"/>
      <c r="E512" s="753"/>
      <c r="I512" s="658"/>
      <c r="J512" s="657"/>
      <c r="K512" s="658"/>
      <c r="L512" s="658"/>
    </row>
    <row r="513" spans="4:12" x14ac:dyDescent="0.25">
      <c r="D513" s="657"/>
      <c r="E513" s="753"/>
      <c r="I513" s="658"/>
      <c r="J513" s="657"/>
      <c r="K513" s="658"/>
      <c r="L513" s="658"/>
    </row>
    <row r="514" spans="4:12" x14ac:dyDescent="0.25">
      <c r="D514" s="657"/>
      <c r="E514" s="753"/>
      <c r="I514" s="658"/>
      <c r="J514" s="657"/>
      <c r="K514" s="658"/>
      <c r="L514" s="658"/>
    </row>
    <row r="515" spans="4:12" x14ac:dyDescent="0.25">
      <c r="D515" s="657"/>
      <c r="E515" s="753"/>
      <c r="I515" s="658"/>
      <c r="J515" s="657"/>
      <c r="K515" s="658"/>
      <c r="L515" s="658"/>
    </row>
    <row r="516" spans="4:12" x14ac:dyDescent="0.25">
      <c r="D516" s="657"/>
      <c r="E516" s="753"/>
      <c r="I516" s="658"/>
      <c r="J516" s="657"/>
      <c r="K516" s="658"/>
      <c r="L516" s="658"/>
    </row>
    <row r="517" spans="4:12" x14ac:dyDescent="0.25">
      <c r="D517" s="657"/>
      <c r="E517" s="753"/>
      <c r="I517" s="658"/>
      <c r="J517" s="657"/>
      <c r="K517" s="658"/>
      <c r="L517" s="658"/>
    </row>
    <row r="518" spans="4:12" x14ac:dyDescent="0.25">
      <c r="D518" s="657"/>
      <c r="E518" s="753"/>
      <c r="I518" s="658"/>
      <c r="J518" s="657"/>
      <c r="K518" s="658"/>
      <c r="L518" s="658"/>
    </row>
    <row r="519" spans="4:12" x14ac:dyDescent="0.25">
      <c r="D519" s="657"/>
      <c r="E519" s="753"/>
      <c r="I519" s="658"/>
      <c r="J519" s="657"/>
      <c r="K519" s="658"/>
      <c r="L519" s="658"/>
    </row>
    <row r="520" spans="4:12" x14ac:dyDescent="0.25">
      <c r="D520" s="657"/>
      <c r="E520" s="753"/>
      <c r="I520" s="658"/>
      <c r="J520" s="657"/>
      <c r="K520" s="658"/>
      <c r="L520" s="658"/>
    </row>
    <row r="521" spans="4:12" x14ac:dyDescent="0.25">
      <c r="D521" s="657"/>
      <c r="E521" s="753"/>
      <c r="I521" s="658"/>
      <c r="J521" s="657"/>
      <c r="K521" s="658"/>
      <c r="L521" s="658"/>
    </row>
    <row r="522" spans="4:12" x14ac:dyDescent="0.25">
      <c r="D522" s="657"/>
      <c r="E522" s="753"/>
      <c r="I522" s="658"/>
      <c r="J522" s="657"/>
      <c r="K522" s="658"/>
      <c r="L522" s="658"/>
    </row>
    <row r="523" spans="4:12" x14ac:dyDescent="0.25">
      <c r="D523" s="657"/>
      <c r="E523" s="753"/>
      <c r="I523" s="658"/>
      <c r="J523" s="657"/>
      <c r="K523" s="658"/>
      <c r="L523" s="658"/>
    </row>
    <row r="524" spans="4:12" x14ac:dyDescent="0.25">
      <c r="D524" s="657"/>
      <c r="E524" s="753"/>
      <c r="I524" s="658"/>
      <c r="J524" s="657"/>
      <c r="K524" s="658"/>
      <c r="L524" s="658"/>
    </row>
    <row r="525" spans="4:12" x14ac:dyDescent="0.25">
      <c r="D525" s="657"/>
      <c r="E525" s="753"/>
      <c r="I525" s="658"/>
      <c r="J525" s="657"/>
      <c r="K525" s="658"/>
      <c r="L525" s="658"/>
    </row>
    <row r="526" spans="4:12" x14ac:dyDescent="0.25">
      <c r="D526" s="657"/>
      <c r="E526" s="753"/>
      <c r="I526" s="658"/>
      <c r="J526" s="657"/>
      <c r="K526" s="658"/>
      <c r="L526" s="658"/>
    </row>
    <row r="527" spans="4:12" x14ac:dyDescent="0.25">
      <c r="D527" s="657"/>
      <c r="E527" s="753"/>
      <c r="I527" s="658"/>
      <c r="J527" s="657"/>
      <c r="K527" s="658"/>
      <c r="L527" s="658"/>
    </row>
    <row r="528" spans="4:12" x14ac:dyDescent="0.25">
      <c r="D528" s="657"/>
      <c r="E528" s="753"/>
      <c r="I528" s="658"/>
      <c r="J528" s="657"/>
      <c r="K528" s="658"/>
      <c r="L528" s="658"/>
    </row>
    <row r="529" spans="4:12" x14ac:dyDescent="0.25">
      <c r="D529" s="657"/>
      <c r="E529" s="753"/>
      <c r="I529" s="658"/>
      <c r="J529" s="657"/>
      <c r="K529" s="658"/>
      <c r="L529" s="658"/>
    </row>
    <row r="530" spans="4:12" x14ac:dyDescent="0.25">
      <c r="D530" s="657"/>
      <c r="E530" s="753"/>
      <c r="I530" s="658"/>
      <c r="J530" s="657"/>
      <c r="K530" s="658"/>
      <c r="L530" s="658"/>
    </row>
    <row r="531" spans="4:12" x14ac:dyDescent="0.25">
      <c r="D531" s="657"/>
      <c r="E531" s="753"/>
      <c r="I531" s="658"/>
      <c r="J531" s="657"/>
      <c r="K531" s="658"/>
      <c r="L531" s="658"/>
    </row>
    <row r="532" spans="4:12" x14ac:dyDescent="0.25">
      <c r="D532" s="657"/>
      <c r="E532" s="753"/>
      <c r="I532" s="658"/>
      <c r="J532" s="657"/>
      <c r="K532" s="658"/>
      <c r="L532" s="658"/>
    </row>
    <row r="533" spans="4:12" x14ac:dyDescent="0.25">
      <c r="D533" s="657"/>
      <c r="E533" s="753"/>
      <c r="I533" s="658"/>
      <c r="J533" s="657"/>
      <c r="K533" s="658"/>
      <c r="L533" s="658"/>
    </row>
    <row r="534" spans="4:12" x14ac:dyDescent="0.25">
      <c r="D534" s="657"/>
      <c r="E534" s="753"/>
      <c r="I534" s="658"/>
      <c r="J534" s="657"/>
      <c r="K534" s="658"/>
      <c r="L534" s="658"/>
    </row>
    <row r="535" spans="4:12" x14ac:dyDescent="0.25">
      <c r="D535" s="657"/>
      <c r="E535" s="753"/>
      <c r="I535" s="658"/>
      <c r="J535" s="657"/>
      <c r="K535" s="658"/>
      <c r="L535" s="658"/>
    </row>
    <row r="536" spans="4:12" x14ac:dyDescent="0.25">
      <c r="D536" s="657"/>
      <c r="E536" s="753"/>
      <c r="I536" s="658"/>
      <c r="J536" s="657"/>
      <c r="K536" s="658"/>
      <c r="L536" s="658"/>
    </row>
    <row r="537" spans="4:12" x14ac:dyDescent="0.25">
      <c r="D537" s="657"/>
      <c r="E537" s="753"/>
      <c r="I537" s="658"/>
      <c r="J537" s="657"/>
      <c r="K537" s="658"/>
      <c r="L537" s="658"/>
    </row>
    <row r="538" spans="4:12" x14ac:dyDescent="0.25">
      <c r="D538" s="657"/>
      <c r="E538" s="753"/>
      <c r="I538" s="658"/>
      <c r="J538" s="657"/>
      <c r="K538" s="658"/>
      <c r="L538" s="658"/>
    </row>
    <row r="539" spans="4:12" x14ac:dyDescent="0.25">
      <c r="D539" s="657"/>
      <c r="E539" s="753"/>
      <c r="I539" s="658"/>
      <c r="J539" s="657"/>
      <c r="K539" s="658"/>
      <c r="L539" s="658"/>
    </row>
    <row r="540" spans="4:12" x14ac:dyDescent="0.25">
      <c r="D540" s="657"/>
      <c r="E540" s="753"/>
      <c r="I540" s="658"/>
      <c r="J540" s="657"/>
      <c r="K540" s="658"/>
      <c r="L540" s="658"/>
    </row>
    <row r="541" spans="4:12" x14ac:dyDescent="0.25">
      <c r="D541" s="657"/>
      <c r="E541" s="753"/>
      <c r="I541" s="658"/>
      <c r="J541" s="657"/>
      <c r="K541" s="658"/>
      <c r="L541" s="658"/>
    </row>
    <row r="542" spans="4:12" x14ac:dyDescent="0.25">
      <c r="D542" s="657"/>
      <c r="E542" s="753"/>
      <c r="I542" s="658"/>
      <c r="J542" s="657"/>
      <c r="K542" s="658"/>
      <c r="L542" s="658"/>
    </row>
    <row r="543" spans="4:12" x14ac:dyDescent="0.25">
      <c r="D543" s="657"/>
      <c r="E543" s="753"/>
      <c r="I543" s="658"/>
      <c r="J543" s="657"/>
      <c r="K543" s="658"/>
      <c r="L543" s="658"/>
    </row>
    <row r="544" spans="4:12" x14ac:dyDescent="0.25">
      <c r="D544" s="657"/>
      <c r="E544" s="753"/>
      <c r="I544" s="658"/>
      <c r="J544" s="657"/>
      <c r="K544" s="658"/>
      <c r="L544" s="658"/>
    </row>
    <row r="545" spans="4:12" x14ac:dyDescent="0.25">
      <c r="D545" s="657"/>
      <c r="E545" s="753"/>
      <c r="I545" s="658"/>
      <c r="J545" s="657"/>
      <c r="K545" s="658"/>
      <c r="L545" s="658"/>
    </row>
    <row r="546" spans="4:12" x14ac:dyDescent="0.25">
      <c r="D546" s="657"/>
      <c r="E546" s="753"/>
      <c r="I546" s="658"/>
      <c r="J546" s="657"/>
      <c r="K546" s="658"/>
      <c r="L546" s="658"/>
    </row>
    <row r="547" spans="4:12" x14ac:dyDescent="0.25">
      <c r="D547" s="657"/>
      <c r="E547" s="753"/>
      <c r="I547" s="658"/>
      <c r="J547" s="657"/>
      <c r="K547" s="658"/>
      <c r="L547" s="658"/>
    </row>
    <row r="548" spans="4:12" x14ac:dyDescent="0.25">
      <c r="D548" s="657"/>
      <c r="E548" s="753"/>
      <c r="I548" s="658"/>
      <c r="J548" s="657"/>
      <c r="K548" s="658"/>
      <c r="L548" s="658"/>
    </row>
    <row r="549" spans="4:12" x14ac:dyDescent="0.25">
      <c r="D549" s="657"/>
      <c r="E549" s="753"/>
      <c r="I549" s="658"/>
      <c r="J549" s="657"/>
      <c r="K549" s="658"/>
      <c r="L549" s="658"/>
    </row>
    <row r="550" spans="4:12" x14ac:dyDescent="0.25">
      <c r="D550" s="657"/>
      <c r="E550" s="753"/>
      <c r="I550" s="658"/>
      <c r="J550" s="657"/>
      <c r="K550" s="658"/>
      <c r="L550" s="658"/>
    </row>
    <row r="551" spans="4:12" x14ac:dyDescent="0.25">
      <c r="D551" s="657"/>
      <c r="E551" s="753"/>
      <c r="I551" s="658"/>
      <c r="J551" s="657"/>
      <c r="K551" s="658"/>
      <c r="L551" s="658"/>
    </row>
    <row r="552" spans="4:12" x14ac:dyDescent="0.25">
      <c r="D552" s="657"/>
      <c r="E552" s="753"/>
      <c r="I552" s="658"/>
      <c r="J552" s="657"/>
      <c r="K552" s="658"/>
      <c r="L552" s="658"/>
    </row>
    <row r="553" spans="4:12" x14ac:dyDescent="0.25">
      <c r="D553" s="657"/>
      <c r="E553" s="753"/>
      <c r="I553" s="658"/>
      <c r="J553" s="657"/>
      <c r="K553" s="658"/>
      <c r="L553" s="658"/>
    </row>
    <row r="554" spans="4:12" x14ac:dyDescent="0.25">
      <c r="D554" s="657"/>
      <c r="E554" s="753"/>
      <c r="I554" s="658"/>
      <c r="J554" s="657"/>
      <c r="K554" s="658"/>
      <c r="L554" s="658"/>
    </row>
    <row r="555" spans="4:12" x14ac:dyDescent="0.25">
      <c r="D555" s="657"/>
      <c r="E555" s="753"/>
      <c r="I555" s="658"/>
      <c r="J555" s="657"/>
      <c r="K555" s="658"/>
      <c r="L555" s="658"/>
    </row>
    <row r="556" spans="4:12" x14ac:dyDescent="0.25">
      <c r="D556" s="657"/>
      <c r="E556" s="753"/>
      <c r="I556" s="658"/>
      <c r="J556" s="657"/>
      <c r="K556" s="658"/>
      <c r="L556" s="658"/>
    </row>
    <row r="557" spans="4:12" x14ac:dyDescent="0.25">
      <c r="D557" s="657"/>
      <c r="E557" s="753"/>
      <c r="I557" s="658"/>
      <c r="J557" s="657"/>
      <c r="K557" s="658"/>
      <c r="L557" s="658"/>
    </row>
    <row r="558" spans="4:12" x14ac:dyDescent="0.25">
      <c r="D558" s="657"/>
      <c r="E558" s="753"/>
      <c r="I558" s="658"/>
      <c r="J558" s="657"/>
      <c r="K558" s="658"/>
      <c r="L558" s="658"/>
    </row>
    <row r="559" spans="4:12" x14ac:dyDescent="0.25">
      <c r="D559" s="657"/>
      <c r="E559" s="753"/>
      <c r="I559" s="658"/>
      <c r="J559" s="657"/>
      <c r="K559" s="658"/>
      <c r="L559" s="658"/>
    </row>
    <row r="560" spans="4:12" x14ac:dyDescent="0.25">
      <c r="D560" s="657"/>
      <c r="E560" s="753"/>
      <c r="I560" s="658"/>
      <c r="J560" s="657"/>
      <c r="K560" s="658"/>
      <c r="L560" s="658"/>
    </row>
    <row r="561" spans="4:12" x14ac:dyDescent="0.25">
      <c r="D561" s="657"/>
      <c r="E561" s="753"/>
      <c r="I561" s="658"/>
      <c r="J561" s="657"/>
      <c r="K561" s="658"/>
      <c r="L561" s="658"/>
    </row>
    <row r="562" spans="4:12" x14ac:dyDescent="0.25">
      <c r="D562" s="657"/>
      <c r="E562" s="753"/>
      <c r="I562" s="658"/>
      <c r="J562" s="657"/>
      <c r="K562" s="658"/>
      <c r="L562" s="658"/>
    </row>
    <row r="563" spans="4:12" x14ac:dyDescent="0.25">
      <c r="D563" s="657"/>
      <c r="E563" s="753"/>
      <c r="I563" s="658"/>
      <c r="J563" s="657"/>
      <c r="K563" s="658"/>
      <c r="L563" s="658"/>
    </row>
    <row r="564" spans="4:12" x14ac:dyDescent="0.25">
      <c r="D564" s="657"/>
      <c r="E564" s="753"/>
      <c r="I564" s="658"/>
      <c r="J564" s="657"/>
      <c r="K564" s="658"/>
      <c r="L564" s="658"/>
    </row>
    <row r="565" spans="4:12" x14ac:dyDescent="0.25">
      <c r="D565" s="657"/>
      <c r="E565" s="753"/>
      <c r="I565" s="658"/>
      <c r="J565" s="657"/>
      <c r="K565" s="658"/>
      <c r="L565" s="658"/>
    </row>
    <row r="566" spans="4:12" x14ac:dyDescent="0.25">
      <c r="D566" s="657"/>
      <c r="E566" s="753"/>
      <c r="I566" s="658"/>
      <c r="J566" s="657"/>
      <c r="K566" s="658"/>
      <c r="L566" s="658"/>
    </row>
    <row r="567" spans="4:12" x14ac:dyDescent="0.25">
      <c r="D567" s="657"/>
      <c r="E567" s="753"/>
      <c r="I567" s="658"/>
      <c r="J567" s="657"/>
      <c r="K567" s="658"/>
      <c r="L567" s="658"/>
    </row>
    <row r="568" spans="4:12" x14ac:dyDescent="0.25">
      <c r="D568" s="657"/>
      <c r="E568" s="753"/>
      <c r="I568" s="658"/>
      <c r="J568" s="657"/>
      <c r="K568" s="658"/>
      <c r="L568" s="658"/>
    </row>
    <row r="569" spans="4:12" x14ac:dyDescent="0.25">
      <c r="D569" s="657"/>
      <c r="E569" s="753"/>
      <c r="I569" s="658"/>
      <c r="J569" s="657"/>
      <c r="K569" s="658"/>
      <c r="L569" s="658"/>
    </row>
    <row r="570" spans="4:12" x14ac:dyDescent="0.25">
      <c r="D570" s="657"/>
      <c r="E570" s="753"/>
      <c r="I570" s="658"/>
      <c r="J570" s="657"/>
      <c r="K570" s="658"/>
      <c r="L570" s="658"/>
    </row>
    <row r="571" spans="4:12" x14ac:dyDescent="0.25">
      <c r="D571" s="657"/>
      <c r="E571" s="753"/>
      <c r="I571" s="658"/>
      <c r="J571" s="657"/>
      <c r="K571" s="658"/>
      <c r="L571" s="658"/>
    </row>
    <row r="572" spans="4:12" x14ac:dyDescent="0.25">
      <c r="D572" s="657"/>
      <c r="E572" s="753"/>
      <c r="I572" s="658"/>
      <c r="J572" s="657"/>
      <c r="K572" s="658"/>
      <c r="L572" s="658"/>
    </row>
    <row r="573" spans="4:12" x14ac:dyDescent="0.25">
      <c r="D573" s="657"/>
      <c r="E573" s="753"/>
      <c r="I573" s="658"/>
      <c r="J573" s="657"/>
      <c r="K573" s="658"/>
      <c r="L573" s="658"/>
    </row>
    <row r="574" spans="4:12" x14ac:dyDescent="0.25">
      <c r="D574" s="657"/>
      <c r="E574" s="753"/>
      <c r="I574" s="658"/>
      <c r="J574" s="657"/>
      <c r="K574" s="658"/>
      <c r="L574" s="658"/>
    </row>
    <row r="575" spans="4:12" x14ac:dyDescent="0.25">
      <c r="D575" s="657"/>
      <c r="E575" s="753"/>
      <c r="I575" s="658"/>
      <c r="J575" s="657"/>
      <c r="K575" s="658"/>
      <c r="L575" s="658"/>
    </row>
    <row r="576" spans="4:12" x14ac:dyDescent="0.25">
      <c r="D576" s="657"/>
      <c r="E576" s="753"/>
      <c r="I576" s="658"/>
      <c r="J576" s="657"/>
      <c r="K576" s="658"/>
      <c r="L576" s="658"/>
    </row>
    <row r="577" spans="4:12" x14ac:dyDescent="0.25">
      <c r="D577" s="657"/>
      <c r="E577" s="753"/>
      <c r="I577" s="658"/>
      <c r="J577" s="657"/>
      <c r="K577" s="658"/>
      <c r="L577" s="658"/>
    </row>
    <row r="578" spans="4:12" x14ac:dyDescent="0.25">
      <c r="D578" s="657"/>
      <c r="E578" s="753"/>
      <c r="I578" s="658"/>
      <c r="J578" s="657"/>
      <c r="K578" s="658"/>
      <c r="L578" s="658"/>
    </row>
    <row r="579" spans="4:12" x14ac:dyDescent="0.25">
      <c r="D579" s="657"/>
      <c r="E579" s="753"/>
      <c r="I579" s="658"/>
      <c r="J579" s="657"/>
      <c r="K579" s="658"/>
      <c r="L579" s="658"/>
    </row>
    <row r="580" spans="4:12" x14ac:dyDescent="0.25">
      <c r="D580" s="657"/>
      <c r="E580" s="753"/>
      <c r="I580" s="658"/>
      <c r="J580" s="657"/>
      <c r="K580" s="658"/>
      <c r="L580" s="658"/>
    </row>
    <row r="581" spans="4:12" x14ac:dyDescent="0.25">
      <c r="D581" s="657"/>
      <c r="E581" s="753"/>
      <c r="I581" s="658"/>
      <c r="J581" s="657"/>
      <c r="K581" s="658"/>
      <c r="L581" s="658"/>
    </row>
    <row r="582" spans="4:12" x14ac:dyDescent="0.25">
      <c r="D582" s="657"/>
      <c r="E582" s="753"/>
      <c r="I582" s="658"/>
      <c r="J582" s="657"/>
      <c r="K582" s="658"/>
      <c r="L582" s="658"/>
    </row>
    <row r="583" spans="4:12" x14ac:dyDescent="0.25">
      <c r="D583" s="657"/>
      <c r="E583" s="753"/>
      <c r="I583" s="658"/>
      <c r="J583" s="657"/>
      <c r="K583" s="658"/>
      <c r="L583" s="658"/>
    </row>
    <row r="584" spans="4:12" x14ac:dyDescent="0.25">
      <c r="D584" s="657"/>
      <c r="E584" s="753"/>
      <c r="I584" s="658"/>
      <c r="J584" s="657"/>
      <c r="K584" s="658"/>
      <c r="L584" s="658"/>
    </row>
    <row r="585" spans="4:12" x14ac:dyDescent="0.25">
      <c r="D585" s="657"/>
      <c r="E585" s="753"/>
      <c r="I585" s="658"/>
      <c r="J585" s="657"/>
      <c r="K585" s="658"/>
      <c r="L585" s="658"/>
    </row>
    <row r="586" spans="4:12" x14ac:dyDescent="0.25">
      <c r="D586" s="657"/>
      <c r="E586" s="753"/>
      <c r="I586" s="658"/>
      <c r="J586" s="657"/>
      <c r="K586" s="658"/>
      <c r="L586" s="658"/>
    </row>
    <row r="587" spans="4:12" x14ac:dyDescent="0.25">
      <c r="D587" s="657"/>
      <c r="E587" s="753"/>
      <c r="I587" s="658"/>
      <c r="J587" s="657"/>
      <c r="K587" s="658"/>
      <c r="L587" s="658"/>
    </row>
    <row r="588" spans="4:12" x14ac:dyDescent="0.25">
      <c r="D588" s="657"/>
      <c r="E588" s="753"/>
      <c r="I588" s="658"/>
      <c r="J588" s="657"/>
      <c r="K588" s="658"/>
      <c r="L588" s="658"/>
    </row>
    <row r="589" spans="4:12" x14ac:dyDescent="0.25">
      <c r="D589" s="657"/>
      <c r="E589" s="753"/>
      <c r="I589" s="658"/>
      <c r="J589" s="657"/>
      <c r="K589" s="658"/>
      <c r="L589" s="658"/>
    </row>
    <row r="590" spans="4:12" x14ac:dyDescent="0.25">
      <c r="D590" s="657"/>
      <c r="E590" s="753"/>
      <c r="I590" s="658"/>
      <c r="J590" s="657"/>
      <c r="K590" s="658"/>
      <c r="L590" s="658"/>
    </row>
    <row r="591" spans="4:12" x14ac:dyDescent="0.25">
      <c r="D591" s="657"/>
      <c r="E591" s="753"/>
      <c r="I591" s="658"/>
      <c r="J591" s="657"/>
      <c r="K591" s="658"/>
      <c r="L591" s="658"/>
    </row>
    <row r="592" spans="4:12" x14ac:dyDescent="0.25">
      <c r="D592" s="657"/>
      <c r="E592" s="753"/>
      <c r="I592" s="658"/>
      <c r="J592" s="657"/>
      <c r="K592" s="658"/>
      <c r="L592" s="658"/>
    </row>
    <row r="593" spans="4:12" x14ac:dyDescent="0.25">
      <c r="D593" s="657"/>
      <c r="E593" s="753"/>
      <c r="I593" s="658"/>
      <c r="J593" s="657"/>
      <c r="K593" s="658"/>
      <c r="L593" s="658"/>
    </row>
    <row r="594" spans="4:12" x14ac:dyDescent="0.25">
      <c r="D594" s="657"/>
      <c r="E594" s="753"/>
      <c r="I594" s="658"/>
      <c r="J594" s="657"/>
      <c r="K594" s="658"/>
      <c r="L594" s="658"/>
    </row>
    <row r="595" spans="4:12" x14ac:dyDescent="0.25">
      <c r="D595" s="657"/>
      <c r="E595" s="753"/>
      <c r="I595" s="658"/>
      <c r="J595" s="657"/>
      <c r="K595" s="658"/>
      <c r="L595" s="658"/>
    </row>
    <row r="596" spans="4:12" x14ac:dyDescent="0.25">
      <c r="D596" s="657"/>
      <c r="E596" s="753"/>
      <c r="I596" s="658"/>
      <c r="J596" s="657"/>
      <c r="K596" s="658"/>
      <c r="L596" s="658"/>
    </row>
    <row r="597" spans="4:12" x14ac:dyDescent="0.25">
      <c r="D597" s="657"/>
      <c r="E597" s="753"/>
      <c r="I597" s="658"/>
      <c r="J597" s="657"/>
      <c r="K597" s="658"/>
      <c r="L597" s="658"/>
    </row>
    <row r="598" spans="4:12" x14ac:dyDescent="0.25">
      <c r="D598" s="657"/>
      <c r="E598" s="753"/>
      <c r="I598" s="658"/>
      <c r="J598" s="657"/>
      <c r="K598" s="658"/>
      <c r="L598" s="658"/>
    </row>
    <row r="599" spans="4:12" x14ac:dyDescent="0.25">
      <c r="D599" s="657"/>
      <c r="E599" s="753"/>
      <c r="I599" s="658"/>
      <c r="J599" s="657"/>
      <c r="K599" s="658"/>
      <c r="L599" s="658"/>
    </row>
    <row r="600" spans="4:12" x14ac:dyDescent="0.25">
      <c r="D600" s="657"/>
      <c r="E600" s="753"/>
      <c r="I600" s="658"/>
      <c r="J600" s="657"/>
      <c r="K600" s="658"/>
      <c r="L600" s="658"/>
    </row>
    <row r="601" spans="4:12" x14ac:dyDescent="0.25">
      <c r="D601" s="657"/>
      <c r="E601" s="753"/>
      <c r="I601" s="658"/>
      <c r="J601" s="657"/>
      <c r="K601" s="658"/>
      <c r="L601" s="658"/>
    </row>
    <row r="602" spans="4:12" x14ac:dyDescent="0.25">
      <c r="D602" s="657"/>
      <c r="E602" s="753"/>
      <c r="I602" s="658"/>
      <c r="J602" s="657"/>
      <c r="K602" s="658"/>
      <c r="L602" s="658"/>
    </row>
    <row r="603" spans="4:12" x14ac:dyDescent="0.25">
      <c r="D603" s="657"/>
      <c r="E603" s="753"/>
      <c r="I603" s="658"/>
      <c r="J603" s="657"/>
      <c r="K603" s="658"/>
      <c r="L603" s="658"/>
    </row>
    <row r="604" spans="4:12" x14ac:dyDescent="0.25">
      <c r="D604" s="657"/>
      <c r="E604" s="753"/>
      <c r="I604" s="658"/>
      <c r="J604" s="657"/>
      <c r="K604" s="658"/>
      <c r="L604" s="658"/>
    </row>
    <row r="605" spans="4:12" x14ac:dyDescent="0.25">
      <c r="D605" s="657"/>
      <c r="E605" s="753"/>
      <c r="I605" s="658"/>
      <c r="J605" s="657"/>
      <c r="K605" s="658"/>
      <c r="L605" s="658"/>
    </row>
    <row r="606" spans="4:12" x14ac:dyDescent="0.25">
      <c r="D606" s="657"/>
      <c r="E606" s="753"/>
      <c r="I606" s="658"/>
      <c r="J606" s="657"/>
      <c r="K606" s="658"/>
      <c r="L606" s="658"/>
    </row>
    <row r="607" spans="4:12" x14ac:dyDescent="0.25">
      <c r="D607" s="657"/>
      <c r="E607" s="753"/>
      <c r="I607" s="658"/>
      <c r="J607" s="657"/>
      <c r="K607" s="658"/>
      <c r="L607" s="658"/>
    </row>
    <row r="608" spans="4:12" x14ac:dyDescent="0.25">
      <c r="D608" s="657"/>
      <c r="E608" s="753"/>
      <c r="I608" s="658"/>
      <c r="J608" s="657"/>
      <c r="K608" s="658"/>
      <c r="L608" s="658"/>
    </row>
    <row r="609" spans="4:12" x14ac:dyDescent="0.25">
      <c r="D609" s="657"/>
      <c r="E609" s="753"/>
      <c r="I609" s="658"/>
      <c r="J609" s="657"/>
      <c r="K609" s="658"/>
      <c r="L609" s="658"/>
    </row>
    <row r="610" spans="4:12" x14ac:dyDescent="0.25">
      <c r="D610" s="657"/>
      <c r="E610" s="753"/>
      <c r="I610" s="658"/>
      <c r="J610" s="657"/>
      <c r="K610" s="658"/>
      <c r="L610" s="658"/>
    </row>
    <row r="611" spans="4:12" x14ac:dyDescent="0.25">
      <c r="D611" s="657"/>
      <c r="E611" s="753"/>
      <c r="I611" s="658"/>
      <c r="J611" s="657"/>
      <c r="K611" s="658"/>
      <c r="L611" s="658"/>
    </row>
    <row r="612" spans="4:12" x14ac:dyDescent="0.25">
      <c r="D612" s="657"/>
      <c r="E612" s="753"/>
      <c r="I612" s="658"/>
      <c r="J612" s="657"/>
      <c r="K612" s="658"/>
      <c r="L612" s="658"/>
    </row>
    <row r="613" spans="4:12" x14ac:dyDescent="0.25">
      <c r="D613" s="657"/>
      <c r="E613" s="753"/>
      <c r="I613" s="658"/>
      <c r="J613" s="657"/>
      <c r="K613" s="658"/>
      <c r="L613" s="658"/>
    </row>
    <row r="614" spans="4:12" x14ac:dyDescent="0.25">
      <c r="D614" s="657"/>
      <c r="E614" s="753"/>
      <c r="I614" s="658"/>
      <c r="J614" s="657"/>
      <c r="K614" s="658"/>
      <c r="L614" s="658"/>
    </row>
    <row r="615" spans="4:12" x14ac:dyDescent="0.25">
      <c r="D615" s="657"/>
      <c r="E615" s="753"/>
      <c r="I615" s="658"/>
      <c r="J615" s="657"/>
      <c r="K615" s="658"/>
      <c r="L615" s="658"/>
    </row>
    <row r="616" spans="4:12" x14ac:dyDescent="0.25">
      <c r="D616" s="657"/>
      <c r="E616" s="753"/>
      <c r="I616" s="658"/>
      <c r="J616" s="657"/>
      <c r="K616" s="658"/>
      <c r="L616" s="658"/>
    </row>
    <row r="617" spans="4:12" x14ac:dyDescent="0.25">
      <c r="D617" s="657"/>
      <c r="E617" s="753"/>
      <c r="I617" s="658"/>
      <c r="J617" s="657"/>
      <c r="K617" s="658"/>
      <c r="L617" s="658"/>
    </row>
    <row r="618" spans="4:12" x14ac:dyDescent="0.25">
      <c r="D618" s="657"/>
      <c r="E618" s="753"/>
      <c r="I618" s="658"/>
      <c r="J618" s="657"/>
      <c r="K618" s="658"/>
      <c r="L618" s="658"/>
    </row>
    <row r="619" spans="4:12" x14ac:dyDescent="0.25">
      <c r="D619" s="657"/>
      <c r="E619" s="753"/>
      <c r="I619" s="658"/>
      <c r="J619" s="657"/>
      <c r="K619" s="658"/>
      <c r="L619" s="658"/>
    </row>
    <row r="620" spans="4:12" x14ac:dyDescent="0.25">
      <c r="D620" s="657"/>
      <c r="E620" s="753"/>
      <c r="I620" s="658"/>
      <c r="J620" s="657"/>
      <c r="K620" s="658"/>
      <c r="L620" s="658"/>
    </row>
    <row r="621" spans="4:12" x14ac:dyDescent="0.25">
      <c r="D621" s="657"/>
      <c r="E621" s="753"/>
      <c r="I621" s="658"/>
      <c r="J621" s="657"/>
      <c r="K621" s="658"/>
      <c r="L621" s="658"/>
    </row>
    <row r="622" spans="4:12" x14ac:dyDescent="0.25">
      <c r="D622" s="657"/>
      <c r="E622" s="753"/>
      <c r="I622" s="658"/>
      <c r="J622" s="657"/>
      <c r="K622" s="658"/>
      <c r="L622" s="658"/>
    </row>
    <row r="623" spans="4:12" x14ac:dyDescent="0.25">
      <c r="D623" s="657"/>
      <c r="E623" s="753"/>
      <c r="I623" s="658"/>
      <c r="J623" s="657"/>
      <c r="K623" s="658"/>
      <c r="L623" s="658"/>
    </row>
    <row r="624" spans="4:12" x14ac:dyDescent="0.25">
      <c r="D624" s="657"/>
      <c r="E624" s="753"/>
      <c r="I624" s="658"/>
      <c r="J624" s="657"/>
      <c r="K624" s="658"/>
      <c r="L624" s="658"/>
    </row>
    <row r="625" spans="4:12" x14ac:dyDescent="0.25">
      <c r="D625" s="657"/>
      <c r="E625" s="753"/>
      <c r="I625" s="658"/>
      <c r="J625" s="657"/>
      <c r="K625" s="658"/>
      <c r="L625" s="658"/>
    </row>
    <row r="626" spans="4:12" x14ac:dyDescent="0.25">
      <c r="D626" s="657"/>
      <c r="E626" s="753"/>
      <c r="I626" s="658"/>
      <c r="J626" s="657"/>
      <c r="K626" s="658"/>
      <c r="L626" s="658"/>
    </row>
    <row r="627" spans="4:12" x14ac:dyDescent="0.25">
      <c r="D627" s="657"/>
      <c r="E627" s="753"/>
      <c r="I627" s="658"/>
      <c r="J627" s="657"/>
      <c r="K627" s="658"/>
      <c r="L627" s="658"/>
    </row>
    <row r="628" spans="4:12" x14ac:dyDescent="0.25">
      <c r="D628" s="657"/>
      <c r="E628" s="753"/>
      <c r="I628" s="658"/>
      <c r="J628" s="657"/>
      <c r="K628" s="658"/>
      <c r="L628" s="658"/>
    </row>
    <row r="629" spans="4:12" x14ac:dyDescent="0.25">
      <c r="D629" s="657"/>
      <c r="E629" s="753"/>
      <c r="I629" s="658"/>
      <c r="J629" s="657"/>
      <c r="K629" s="658"/>
      <c r="L629" s="658"/>
    </row>
    <row r="630" spans="4:12" x14ac:dyDescent="0.25">
      <c r="D630" s="657"/>
      <c r="E630" s="753"/>
      <c r="I630" s="658"/>
      <c r="J630" s="657"/>
      <c r="K630" s="658"/>
      <c r="L630" s="658"/>
    </row>
    <row r="631" spans="4:12" x14ac:dyDescent="0.25">
      <c r="D631" s="657"/>
      <c r="E631" s="753"/>
      <c r="I631" s="658"/>
      <c r="J631" s="657"/>
      <c r="K631" s="658"/>
      <c r="L631" s="658"/>
    </row>
    <row r="632" spans="4:12" x14ac:dyDescent="0.25">
      <c r="D632" s="657"/>
      <c r="E632" s="753"/>
      <c r="I632" s="658"/>
      <c r="J632" s="657"/>
      <c r="K632" s="658"/>
      <c r="L632" s="658"/>
    </row>
    <row r="633" spans="4:12" x14ac:dyDescent="0.25">
      <c r="D633" s="657"/>
      <c r="E633" s="753"/>
      <c r="I633" s="658"/>
      <c r="J633" s="657"/>
      <c r="K633" s="658"/>
      <c r="L633" s="658"/>
    </row>
    <row r="634" spans="4:12" x14ac:dyDescent="0.25">
      <c r="D634" s="657"/>
      <c r="E634" s="753"/>
      <c r="I634" s="658"/>
      <c r="J634" s="657"/>
      <c r="K634" s="658"/>
      <c r="L634" s="658"/>
    </row>
    <row r="635" spans="4:12" x14ac:dyDescent="0.25">
      <c r="D635" s="657"/>
      <c r="E635" s="753"/>
      <c r="I635" s="658"/>
      <c r="J635" s="657"/>
      <c r="K635" s="658"/>
      <c r="L635" s="658"/>
    </row>
    <row r="636" spans="4:12" x14ac:dyDescent="0.25">
      <c r="D636" s="657"/>
      <c r="E636" s="753"/>
      <c r="I636" s="658"/>
      <c r="J636" s="657"/>
      <c r="K636" s="658"/>
      <c r="L636" s="658"/>
    </row>
    <row r="637" spans="4:12" x14ac:dyDescent="0.25">
      <c r="D637" s="657"/>
      <c r="E637" s="753"/>
      <c r="I637" s="658"/>
      <c r="J637" s="657"/>
      <c r="K637" s="658"/>
      <c r="L637" s="658"/>
    </row>
    <row r="638" spans="4:12" x14ac:dyDescent="0.25">
      <c r="D638" s="657"/>
      <c r="E638" s="753"/>
      <c r="I638" s="658"/>
      <c r="J638" s="657"/>
      <c r="K638" s="658"/>
      <c r="L638" s="658"/>
    </row>
    <row r="639" spans="4:12" x14ac:dyDescent="0.25">
      <c r="D639" s="657"/>
      <c r="E639" s="753"/>
      <c r="I639" s="658"/>
      <c r="J639" s="657"/>
      <c r="K639" s="658"/>
      <c r="L639" s="658"/>
    </row>
    <row r="640" spans="4:12" x14ac:dyDescent="0.25">
      <c r="D640" s="657"/>
      <c r="E640" s="753"/>
      <c r="I640" s="658"/>
      <c r="J640" s="657"/>
      <c r="K640" s="658"/>
      <c r="L640" s="658"/>
    </row>
    <row r="641" spans="4:12" x14ac:dyDescent="0.25">
      <c r="D641" s="657"/>
      <c r="E641" s="753"/>
      <c r="I641" s="658"/>
      <c r="J641" s="657"/>
      <c r="K641" s="658"/>
      <c r="L641" s="658"/>
    </row>
    <row r="642" spans="4:12" x14ac:dyDescent="0.25">
      <c r="D642" s="657"/>
      <c r="E642" s="753"/>
      <c r="I642" s="658"/>
      <c r="J642" s="657"/>
      <c r="K642" s="658"/>
      <c r="L642" s="658"/>
    </row>
    <row r="643" spans="4:12" x14ac:dyDescent="0.25">
      <c r="D643" s="657"/>
      <c r="E643" s="753"/>
      <c r="I643" s="658"/>
      <c r="J643" s="657"/>
      <c r="K643" s="658"/>
      <c r="L643" s="658"/>
    </row>
    <row r="644" spans="4:12" x14ac:dyDescent="0.25">
      <c r="D644" s="657"/>
      <c r="E644" s="753"/>
      <c r="I644" s="658"/>
      <c r="J644" s="657"/>
      <c r="K644" s="658"/>
      <c r="L644" s="658"/>
    </row>
    <row r="645" spans="4:12" x14ac:dyDescent="0.25">
      <c r="D645" s="657"/>
      <c r="E645" s="753"/>
      <c r="I645" s="658"/>
      <c r="J645" s="657"/>
      <c r="K645" s="658"/>
      <c r="L645" s="658"/>
    </row>
    <row r="646" spans="4:12" x14ac:dyDescent="0.25">
      <c r="D646" s="657"/>
      <c r="E646" s="753"/>
      <c r="I646" s="658"/>
      <c r="J646" s="657"/>
      <c r="K646" s="658"/>
      <c r="L646" s="658"/>
    </row>
    <row r="647" spans="4:12" x14ac:dyDescent="0.25">
      <c r="D647" s="657"/>
      <c r="E647" s="753"/>
      <c r="I647" s="658"/>
      <c r="J647" s="657"/>
      <c r="K647" s="658"/>
      <c r="L647" s="658"/>
    </row>
    <row r="648" spans="4:12" x14ac:dyDescent="0.25">
      <c r="D648" s="657"/>
      <c r="E648" s="753"/>
      <c r="I648" s="658"/>
      <c r="J648" s="657"/>
      <c r="K648" s="658"/>
      <c r="L648" s="658"/>
    </row>
    <row r="649" spans="4:12" x14ac:dyDescent="0.25">
      <c r="D649" s="657"/>
      <c r="E649" s="753"/>
      <c r="I649" s="658"/>
      <c r="J649" s="657"/>
      <c r="K649" s="658"/>
      <c r="L649" s="658"/>
    </row>
    <row r="650" spans="4:12" x14ac:dyDescent="0.25">
      <c r="D650" s="657"/>
      <c r="E650" s="753"/>
      <c r="I650" s="658"/>
      <c r="J650" s="657"/>
      <c r="K650" s="658"/>
      <c r="L650" s="658"/>
    </row>
    <row r="651" spans="4:12" x14ac:dyDescent="0.25">
      <c r="D651" s="657"/>
      <c r="E651" s="753"/>
      <c r="I651" s="658"/>
      <c r="J651" s="657"/>
      <c r="K651" s="658"/>
      <c r="L651" s="658"/>
    </row>
    <row r="652" spans="4:12" x14ac:dyDescent="0.25">
      <c r="D652" s="657"/>
      <c r="E652" s="753"/>
      <c r="I652" s="658"/>
      <c r="J652" s="657"/>
      <c r="K652" s="658"/>
      <c r="L652" s="658"/>
    </row>
    <row r="653" spans="4:12" x14ac:dyDescent="0.25">
      <c r="D653" s="657"/>
      <c r="E653" s="753"/>
      <c r="I653" s="658"/>
      <c r="J653" s="657"/>
      <c r="K653" s="658"/>
      <c r="L653" s="658"/>
    </row>
    <row r="654" spans="4:12" x14ac:dyDescent="0.25">
      <c r="D654" s="657"/>
      <c r="E654" s="753"/>
      <c r="I654" s="658"/>
      <c r="J654" s="657"/>
      <c r="K654" s="658"/>
      <c r="L654" s="658"/>
    </row>
    <row r="655" spans="4:12" x14ac:dyDescent="0.25">
      <c r="D655" s="657"/>
      <c r="E655" s="753"/>
      <c r="I655" s="658"/>
      <c r="J655" s="657"/>
      <c r="K655" s="658"/>
      <c r="L655" s="658"/>
    </row>
    <row r="656" spans="4:12" x14ac:dyDescent="0.25">
      <c r="D656" s="657"/>
      <c r="E656" s="753"/>
      <c r="I656" s="658"/>
      <c r="J656" s="657"/>
      <c r="K656" s="658"/>
      <c r="L656" s="658"/>
    </row>
    <row r="657" spans="4:12" x14ac:dyDescent="0.25">
      <c r="D657" s="657"/>
      <c r="E657" s="753"/>
      <c r="I657" s="658"/>
      <c r="J657" s="657"/>
      <c r="K657" s="658"/>
      <c r="L657" s="658"/>
    </row>
    <row r="658" spans="4:12" x14ac:dyDescent="0.25">
      <c r="D658" s="657"/>
      <c r="E658" s="753"/>
      <c r="I658" s="658"/>
      <c r="J658" s="657"/>
      <c r="K658" s="658"/>
      <c r="L658" s="658"/>
    </row>
    <row r="659" spans="4:12" x14ac:dyDescent="0.25">
      <c r="D659" s="657"/>
      <c r="E659" s="753"/>
      <c r="I659" s="658"/>
      <c r="J659" s="657"/>
      <c r="K659" s="658"/>
      <c r="L659" s="658"/>
    </row>
    <row r="660" spans="4:12" x14ac:dyDescent="0.25">
      <c r="D660" s="657"/>
      <c r="E660" s="753"/>
      <c r="I660" s="658"/>
      <c r="J660" s="657"/>
      <c r="K660" s="658"/>
      <c r="L660" s="658"/>
    </row>
    <row r="661" spans="4:12" x14ac:dyDescent="0.25">
      <c r="D661" s="657"/>
      <c r="E661" s="753"/>
      <c r="I661" s="658"/>
      <c r="J661" s="657"/>
      <c r="K661" s="658"/>
      <c r="L661" s="658"/>
    </row>
    <row r="662" spans="4:12" x14ac:dyDescent="0.25">
      <c r="D662" s="657"/>
      <c r="E662" s="753"/>
      <c r="I662" s="658"/>
      <c r="J662" s="657"/>
      <c r="K662" s="658"/>
      <c r="L662" s="658"/>
    </row>
    <row r="663" spans="4:12" x14ac:dyDescent="0.25">
      <c r="D663" s="657"/>
      <c r="E663" s="753"/>
      <c r="I663" s="658"/>
      <c r="J663" s="657"/>
      <c r="K663" s="658"/>
      <c r="L663" s="658"/>
    </row>
    <row r="664" spans="4:12" x14ac:dyDescent="0.25">
      <c r="D664" s="657"/>
      <c r="E664" s="753"/>
      <c r="I664" s="658"/>
      <c r="J664" s="657"/>
      <c r="K664" s="658"/>
      <c r="L664" s="658"/>
    </row>
    <row r="665" spans="4:12" x14ac:dyDescent="0.25">
      <c r="D665" s="657"/>
      <c r="E665" s="753"/>
      <c r="I665" s="658"/>
      <c r="J665" s="657"/>
      <c r="K665" s="658"/>
      <c r="L665" s="658"/>
    </row>
    <row r="666" spans="4:12" x14ac:dyDescent="0.25">
      <c r="D666" s="657"/>
      <c r="E666" s="753"/>
      <c r="I666" s="658"/>
      <c r="J666" s="657"/>
      <c r="K666" s="658"/>
      <c r="L666" s="658"/>
    </row>
    <row r="667" spans="4:12" x14ac:dyDescent="0.25">
      <c r="D667" s="657"/>
      <c r="E667" s="753"/>
      <c r="I667" s="658"/>
      <c r="J667" s="657"/>
      <c r="K667" s="658"/>
      <c r="L667" s="658"/>
    </row>
    <row r="668" spans="4:12" x14ac:dyDescent="0.25">
      <c r="D668" s="657"/>
      <c r="E668" s="753"/>
      <c r="I668" s="658"/>
      <c r="J668" s="657"/>
      <c r="K668" s="658"/>
      <c r="L668" s="658"/>
    </row>
    <row r="669" spans="4:12" x14ac:dyDescent="0.25">
      <c r="D669" s="657"/>
      <c r="E669" s="753"/>
      <c r="I669" s="658"/>
      <c r="J669" s="657"/>
      <c r="K669" s="658"/>
      <c r="L669" s="658"/>
    </row>
    <row r="670" spans="4:12" x14ac:dyDescent="0.25">
      <c r="D670" s="657"/>
      <c r="E670" s="753"/>
      <c r="I670" s="658"/>
      <c r="J670" s="657"/>
      <c r="K670" s="658"/>
      <c r="L670" s="658"/>
    </row>
    <row r="671" spans="4:12" x14ac:dyDescent="0.25">
      <c r="D671" s="657"/>
      <c r="E671" s="753"/>
      <c r="I671" s="658"/>
      <c r="J671" s="657"/>
      <c r="K671" s="658"/>
      <c r="L671" s="658"/>
    </row>
    <row r="672" spans="4:12" x14ac:dyDescent="0.25">
      <c r="D672" s="657"/>
      <c r="E672" s="753"/>
      <c r="I672" s="658"/>
      <c r="J672" s="657"/>
      <c r="K672" s="658"/>
      <c r="L672" s="658"/>
    </row>
    <row r="673" spans="4:12" x14ac:dyDescent="0.25">
      <c r="D673" s="657"/>
      <c r="E673" s="753"/>
      <c r="I673" s="658"/>
      <c r="J673" s="657"/>
      <c r="K673" s="658"/>
      <c r="L673" s="658"/>
    </row>
    <row r="674" spans="4:12" x14ac:dyDescent="0.25">
      <c r="D674" s="657"/>
      <c r="E674" s="753"/>
      <c r="I674" s="658"/>
      <c r="J674" s="657"/>
      <c r="K674" s="658"/>
      <c r="L674" s="658"/>
    </row>
    <row r="675" spans="4:12" x14ac:dyDescent="0.25">
      <c r="D675" s="657"/>
      <c r="E675" s="753"/>
      <c r="I675" s="658"/>
      <c r="J675" s="657"/>
      <c r="K675" s="658"/>
      <c r="L675" s="658"/>
    </row>
    <row r="676" spans="4:12" x14ac:dyDescent="0.25">
      <c r="D676" s="657"/>
      <c r="E676" s="753"/>
      <c r="I676" s="658"/>
      <c r="J676" s="657"/>
      <c r="K676" s="658"/>
      <c r="L676" s="658"/>
    </row>
    <row r="677" spans="4:12" x14ac:dyDescent="0.25">
      <c r="D677" s="657"/>
      <c r="E677" s="753"/>
      <c r="I677" s="658"/>
      <c r="J677" s="657"/>
      <c r="K677" s="658"/>
      <c r="L677" s="658"/>
    </row>
    <row r="678" spans="4:12" x14ac:dyDescent="0.25">
      <c r="D678" s="657"/>
      <c r="E678" s="753"/>
      <c r="I678" s="658"/>
      <c r="J678" s="657"/>
      <c r="K678" s="658"/>
      <c r="L678" s="658"/>
    </row>
    <row r="679" spans="4:12" x14ac:dyDescent="0.25">
      <c r="D679" s="657"/>
      <c r="E679" s="753"/>
      <c r="I679" s="658"/>
      <c r="J679" s="657"/>
      <c r="K679" s="658"/>
      <c r="L679" s="658"/>
    </row>
    <row r="680" spans="4:12" x14ac:dyDescent="0.25">
      <c r="D680" s="657"/>
      <c r="E680" s="753"/>
      <c r="I680" s="658"/>
      <c r="J680" s="657"/>
      <c r="K680" s="658"/>
      <c r="L680" s="658"/>
    </row>
    <row r="681" spans="4:12" x14ac:dyDescent="0.25">
      <c r="D681" s="657"/>
      <c r="E681" s="753"/>
      <c r="I681" s="658"/>
      <c r="J681" s="657"/>
      <c r="K681" s="658"/>
      <c r="L681" s="658"/>
    </row>
    <row r="682" spans="4:12" x14ac:dyDescent="0.25">
      <c r="D682" s="657"/>
      <c r="E682" s="753"/>
      <c r="I682" s="658"/>
      <c r="J682" s="657"/>
      <c r="K682" s="658"/>
      <c r="L682" s="658"/>
    </row>
    <row r="683" spans="4:12" x14ac:dyDescent="0.25">
      <c r="D683" s="657"/>
      <c r="E683" s="753"/>
      <c r="I683" s="658"/>
      <c r="J683" s="657"/>
      <c r="K683" s="658"/>
      <c r="L683" s="658"/>
    </row>
    <row r="684" spans="4:12" x14ac:dyDescent="0.25">
      <c r="D684" s="657"/>
      <c r="E684" s="753"/>
      <c r="I684" s="658"/>
      <c r="J684" s="657"/>
      <c r="K684" s="658"/>
      <c r="L684" s="658"/>
    </row>
    <row r="685" spans="4:12" x14ac:dyDescent="0.25">
      <c r="D685" s="657"/>
      <c r="E685" s="753"/>
      <c r="I685" s="658"/>
      <c r="J685" s="657"/>
      <c r="K685" s="658"/>
      <c r="L685" s="658"/>
    </row>
    <row r="686" spans="4:12" x14ac:dyDescent="0.25">
      <c r="D686" s="657"/>
      <c r="E686" s="753"/>
      <c r="I686" s="658"/>
      <c r="J686" s="657"/>
      <c r="K686" s="658"/>
      <c r="L686" s="658"/>
    </row>
    <row r="687" spans="4:12" x14ac:dyDescent="0.25">
      <c r="D687" s="657"/>
      <c r="E687" s="753"/>
      <c r="I687" s="658"/>
      <c r="J687" s="657"/>
      <c r="K687" s="658"/>
      <c r="L687" s="658"/>
    </row>
    <row r="688" spans="4:12" x14ac:dyDescent="0.25">
      <c r="D688" s="657"/>
      <c r="E688" s="753"/>
      <c r="I688" s="658"/>
      <c r="J688" s="657"/>
      <c r="K688" s="658"/>
      <c r="L688" s="658"/>
    </row>
    <row r="689" spans="4:12" x14ac:dyDescent="0.25">
      <c r="D689" s="657"/>
      <c r="E689" s="753"/>
      <c r="I689" s="658"/>
      <c r="J689" s="657"/>
      <c r="K689" s="658"/>
      <c r="L689" s="658"/>
    </row>
    <row r="690" spans="4:12" x14ac:dyDescent="0.25">
      <c r="D690" s="657"/>
      <c r="E690" s="753"/>
      <c r="I690" s="658"/>
      <c r="J690" s="657"/>
      <c r="K690" s="658"/>
      <c r="L690" s="658"/>
    </row>
    <row r="691" spans="4:12" x14ac:dyDescent="0.25">
      <c r="D691" s="657"/>
      <c r="E691" s="753"/>
      <c r="I691" s="658"/>
      <c r="J691" s="657"/>
      <c r="K691" s="658"/>
      <c r="L691" s="658"/>
    </row>
    <row r="692" spans="4:12" x14ac:dyDescent="0.25">
      <c r="D692" s="657"/>
      <c r="E692" s="753"/>
      <c r="I692" s="658"/>
      <c r="J692" s="657"/>
      <c r="K692" s="658"/>
      <c r="L692" s="658"/>
    </row>
    <row r="693" spans="4:12" x14ac:dyDescent="0.25">
      <c r="D693" s="657"/>
      <c r="E693" s="753"/>
      <c r="I693" s="658"/>
      <c r="J693" s="657"/>
      <c r="K693" s="658"/>
      <c r="L693" s="658"/>
    </row>
    <row r="694" spans="4:12" x14ac:dyDescent="0.25">
      <c r="D694" s="657"/>
      <c r="E694" s="753"/>
      <c r="I694" s="658"/>
      <c r="J694" s="657"/>
      <c r="K694" s="658"/>
      <c r="L694" s="658"/>
    </row>
    <row r="695" spans="4:12" x14ac:dyDescent="0.25">
      <c r="D695" s="657"/>
      <c r="E695" s="753"/>
      <c r="I695" s="658"/>
      <c r="J695" s="657"/>
      <c r="K695" s="658"/>
      <c r="L695" s="658"/>
    </row>
    <row r="696" spans="4:12" x14ac:dyDescent="0.25">
      <c r="D696" s="657"/>
      <c r="E696" s="753"/>
      <c r="I696" s="658"/>
      <c r="J696" s="657"/>
      <c r="K696" s="658"/>
      <c r="L696" s="658"/>
    </row>
    <row r="697" spans="4:12" x14ac:dyDescent="0.25">
      <c r="D697" s="657"/>
      <c r="E697" s="753"/>
      <c r="I697" s="658"/>
      <c r="J697" s="657"/>
      <c r="K697" s="658"/>
      <c r="L697" s="658"/>
    </row>
    <row r="698" spans="4:12" x14ac:dyDescent="0.25">
      <c r="D698" s="657"/>
      <c r="E698" s="753"/>
      <c r="I698" s="658"/>
      <c r="J698" s="657"/>
      <c r="K698" s="658"/>
      <c r="L698" s="658"/>
    </row>
    <row r="699" spans="4:12" x14ac:dyDescent="0.25">
      <c r="D699" s="657"/>
      <c r="E699" s="753"/>
      <c r="I699" s="658"/>
      <c r="J699" s="657"/>
      <c r="K699" s="658"/>
      <c r="L699" s="658"/>
    </row>
    <row r="700" spans="4:12" x14ac:dyDescent="0.25">
      <c r="D700" s="657"/>
      <c r="E700" s="753"/>
      <c r="I700" s="658"/>
      <c r="J700" s="657"/>
      <c r="K700" s="658"/>
      <c r="L700" s="658"/>
    </row>
    <row r="701" spans="4:12" x14ac:dyDescent="0.25">
      <c r="D701" s="657"/>
      <c r="E701" s="753"/>
      <c r="I701" s="658"/>
      <c r="J701" s="657"/>
      <c r="K701" s="658"/>
      <c r="L701" s="658"/>
    </row>
    <row r="702" spans="4:12" x14ac:dyDescent="0.25">
      <c r="D702" s="657"/>
      <c r="E702" s="753"/>
      <c r="I702" s="658"/>
      <c r="J702" s="657"/>
      <c r="K702" s="658"/>
      <c r="L702" s="658"/>
    </row>
    <row r="703" spans="4:12" x14ac:dyDescent="0.25">
      <c r="D703" s="657"/>
      <c r="E703" s="753"/>
      <c r="I703" s="658"/>
      <c r="J703" s="657"/>
      <c r="K703" s="658"/>
      <c r="L703" s="658"/>
    </row>
    <row r="704" spans="4:12" x14ac:dyDescent="0.25">
      <c r="D704" s="657"/>
      <c r="E704" s="753"/>
      <c r="I704" s="658"/>
      <c r="J704" s="657"/>
      <c r="K704" s="658"/>
      <c r="L704" s="658"/>
    </row>
    <row r="705" spans="4:12" x14ac:dyDescent="0.25">
      <c r="D705" s="657"/>
      <c r="E705" s="753"/>
      <c r="I705" s="658"/>
      <c r="J705" s="657"/>
      <c r="K705" s="658"/>
      <c r="L705" s="658"/>
    </row>
    <row r="706" spans="4:12" x14ac:dyDescent="0.25">
      <c r="D706" s="657"/>
      <c r="E706" s="753"/>
      <c r="I706" s="658"/>
      <c r="J706" s="657"/>
      <c r="K706" s="658"/>
      <c r="L706" s="658"/>
    </row>
    <row r="707" spans="4:12" x14ac:dyDescent="0.25">
      <c r="D707" s="657"/>
      <c r="E707" s="753"/>
      <c r="I707" s="658"/>
      <c r="J707" s="657"/>
      <c r="K707" s="658"/>
      <c r="L707" s="658"/>
    </row>
    <row r="708" spans="4:12" x14ac:dyDescent="0.25">
      <c r="D708" s="657"/>
      <c r="E708" s="753"/>
      <c r="I708" s="658"/>
      <c r="J708" s="657"/>
      <c r="K708" s="658"/>
      <c r="L708" s="658"/>
    </row>
    <row r="709" spans="4:12" x14ac:dyDescent="0.25">
      <c r="D709" s="657"/>
      <c r="E709" s="753"/>
      <c r="I709" s="658"/>
      <c r="J709" s="657"/>
      <c r="K709" s="658"/>
      <c r="L709" s="658"/>
    </row>
    <row r="710" spans="4:12" x14ac:dyDescent="0.25">
      <c r="D710" s="657"/>
      <c r="E710" s="753"/>
      <c r="I710" s="658"/>
      <c r="J710" s="657"/>
      <c r="K710" s="658"/>
      <c r="L710" s="658"/>
    </row>
    <row r="711" spans="4:12" x14ac:dyDescent="0.25">
      <c r="D711" s="657"/>
      <c r="E711" s="753"/>
      <c r="I711" s="658"/>
      <c r="J711" s="657"/>
      <c r="K711" s="658"/>
      <c r="L711" s="658"/>
    </row>
    <row r="712" spans="4:12" x14ac:dyDescent="0.25">
      <c r="D712" s="657"/>
      <c r="E712" s="753"/>
      <c r="I712" s="658"/>
      <c r="J712" s="657"/>
      <c r="K712" s="658"/>
      <c r="L712" s="658"/>
    </row>
    <row r="713" spans="4:12" x14ac:dyDescent="0.25">
      <c r="D713" s="657"/>
      <c r="E713" s="753"/>
      <c r="I713" s="658"/>
      <c r="J713" s="657"/>
      <c r="K713" s="658"/>
      <c r="L713" s="658"/>
    </row>
    <row r="714" spans="4:12" x14ac:dyDescent="0.25">
      <c r="D714" s="657"/>
      <c r="E714" s="753"/>
      <c r="I714" s="658"/>
      <c r="J714" s="657"/>
      <c r="K714" s="658"/>
      <c r="L714" s="658"/>
    </row>
    <row r="715" spans="4:12" x14ac:dyDescent="0.25">
      <c r="D715" s="657"/>
      <c r="E715" s="753"/>
      <c r="I715" s="658"/>
      <c r="J715" s="657"/>
      <c r="K715" s="658"/>
      <c r="L715" s="658"/>
    </row>
    <row r="716" spans="4:12" x14ac:dyDescent="0.25">
      <c r="D716" s="657"/>
      <c r="E716" s="753"/>
      <c r="I716" s="658"/>
      <c r="J716" s="657"/>
      <c r="K716" s="658"/>
      <c r="L716" s="658"/>
    </row>
    <row r="717" spans="4:12" x14ac:dyDescent="0.25">
      <c r="D717" s="657"/>
      <c r="E717" s="753"/>
      <c r="I717" s="658"/>
      <c r="J717" s="657"/>
      <c r="K717" s="658"/>
      <c r="L717" s="658"/>
    </row>
    <row r="718" spans="4:12" x14ac:dyDescent="0.25">
      <c r="D718" s="657"/>
      <c r="E718" s="753"/>
      <c r="I718" s="658"/>
      <c r="J718" s="657"/>
      <c r="K718" s="658"/>
      <c r="L718" s="658"/>
    </row>
    <row r="719" spans="4:12" x14ac:dyDescent="0.25">
      <c r="D719" s="657"/>
      <c r="E719" s="753"/>
      <c r="I719" s="658"/>
      <c r="J719" s="657"/>
      <c r="K719" s="658"/>
      <c r="L719" s="658"/>
    </row>
    <row r="720" spans="4:12" x14ac:dyDescent="0.25">
      <c r="D720" s="657"/>
      <c r="E720" s="753"/>
      <c r="I720" s="658"/>
      <c r="J720" s="657"/>
      <c r="K720" s="658"/>
      <c r="L720" s="658"/>
    </row>
    <row r="721" spans="4:12" x14ac:dyDescent="0.25">
      <c r="D721" s="657"/>
      <c r="E721" s="753"/>
      <c r="I721" s="658"/>
      <c r="J721" s="657"/>
      <c r="K721" s="658"/>
      <c r="L721" s="658"/>
    </row>
    <row r="722" spans="4:12" x14ac:dyDescent="0.25">
      <c r="D722" s="657"/>
      <c r="E722" s="753"/>
      <c r="I722" s="658"/>
      <c r="J722" s="657"/>
      <c r="K722" s="658"/>
      <c r="L722" s="658"/>
    </row>
    <row r="723" spans="4:12" x14ac:dyDescent="0.25">
      <c r="D723" s="657"/>
      <c r="E723" s="753"/>
      <c r="I723" s="658"/>
      <c r="J723" s="657"/>
      <c r="K723" s="658"/>
      <c r="L723" s="658"/>
    </row>
    <row r="724" spans="4:12" x14ac:dyDescent="0.25">
      <c r="D724" s="657"/>
      <c r="E724" s="753"/>
      <c r="I724" s="658"/>
      <c r="J724" s="657"/>
      <c r="K724" s="658"/>
      <c r="L724" s="658"/>
    </row>
    <row r="725" spans="4:12" x14ac:dyDescent="0.25">
      <c r="D725" s="657"/>
      <c r="E725" s="753"/>
      <c r="I725" s="658"/>
      <c r="J725" s="657"/>
      <c r="K725" s="658"/>
      <c r="L725" s="658"/>
    </row>
    <row r="726" spans="4:12" x14ac:dyDescent="0.25">
      <c r="D726" s="657"/>
      <c r="E726" s="753"/>
      <c r="I726" s="658"/>
      <c r="J726" s="657"/>
      <c r="K726" s="658"/>
      <c r="L726" s="658"/>
    </row>
    <row r="727" spans="4:12" x14ac:dyDescent="0.25">
      <c r="D727" s="657"/>
      <c r="E727" s="753"/>
      <c r="I727" s="658"/>
      <c r="J727" s="657"/>
      <c r="K727" s="658"/>
      <c r="L727" s="658"/>
    </row>
    <row r="728" spans="4:12" x14ac:dyDescent="0.25">
      <c r="D728" s="657"/>
      <c r="E728" s="753"/>
      <c r="I728" s="658"/>
      <c r="J728" s="657"/>
      <c r="K728" s="658"/>
      <c r="L728" s="658"/>
    </row>
    <row r="729" spans="4:12" x14ac:dyDescent="0.25">
      <c r="D729" s="657"/>
      <c r="E729" s="753"/>
      <c r="I729" s="658"/>
      <c r="J729" s="657"/>
      <c r="K729" s="658"/>
      <c r="L729" s="658"/>
    </row>
    <row r="730" spans="4:12" x14ac:dyDescent="0.25">
      <c r="D730" s="657"/>
      <c r="E730" s="753"/>
      <c r="I730" s="658"/>
      <c r="J730" s="657"/>
      <c r="K730" s="658"/>
      <c r="L730" s="658"/>
    </row>
    <row r="731" spans="4:12" x14ac:dyDescent="0.25">
      <c r="D731" s="657"/>
      <c r="E731" s="753"/>
      <c r="I731" s="658"/>
      <c r="J731" s="657"/>
      <c r="K731" s="658"/>
      <c r="L731" s="658"/>
    </row>
    <row r="732" spans="4:12" x14ac:dyDescent="0.25">
      <c r="D732" s="657"/>
      <c r="E732" s="753"/>
      <c r="I732" s="658"/>
      <c r="J732" s="657"/>
      <c r="K732" s="658"/>
      <c r="L732" s="658"/>
    </row>
    <row r="733" spans="4:12" x14ac:dyDescent="0.25">
      <c r="D733" s="657"/>
      <c r="E733" s="753"/>
      <c r="I733" s="658"/>
      <c r="J733" s="657"/>
      <c r="K733" s="658"/>
      <c r="L733" s="658"/>
    </row>
    <row r="734" spans="4:12" x14ac:dyDescent="0.25">
      <c r="D734" s="657"/>
      <c r="E734" s="753"/>
      <c r="I734" s="658"/>
      <c r="J734" s="657"/>
      <c r="K734" s="658"/>
      <c r="L734" s="658"/>
    </row>
    <row r="735" spans="4:12" x14ac:dyDescent="0.25">
      <c r="D735" s="657"/>
      <c r="E735" s="753"/>
      <c r="I735" s="658"/>
      <c r="J735" s="657"/>
      <c r="K735" s="658"/>
      <c r="L735" s="658"/>
    </row>
    <row r="736" spans="4:12" x14ac:dyDescent="0.25">
      <c r="D736" s="657"/>
      <c r="E736" s="753"/>
      <c r="I736" s="658"/>
      <c r="J736" s="657"/>
      <c r="K736" s="658"/>
      <c r="L736" s="658"/>
    </row>
    <row r="737" spans="4:12" x14ac:dyDescent="0.25">
      <c r="D737" s="657"/>
      <c r="E737" s="753"/>
      <c r="I737" s="658"/>
      <c r="J737" s="657"/>
      <c r="K737" s="658"/>
      <c r="L737" s="658"/>
    </row>
    <row r="738" spans="4:12" x14ac:dyDescent="0.25">
      <c r="D738" s="657"/>
      <c r="E738" s="753"/>
      <c r="I738" s="658"/>
      <c r="J738" s="657"/>
      <c r="K738" s="658"/>
      <c r="L738" s="658"/>
    </row>
    <row r="739" spans="4:12" x14ac:dyDescent="0.25">
      <c r="D739" s="657"/>
      <c r="E739" s="753"/>
      <c r="I739" s="658"/>
      <c r="J739" s="657"/>
      <c r="K739" s="658"/>
      <c r="L739" s="658"/>
    </row>
    <row r="740" spans="4:12" x14ac:dyDescent="0.25">
      <c r="D740" s="657"/>
      <c r="E740" s="753"/>
      <c r="I740" s="658"/>
      <c r="J740" s="657"/>
      <c r="K740" s="658"/>
      <c r="L740" s="658"/>
    </row>
    <row r="741" spans="4:12" x14ac:dyDescent="0.25">
      <c r="D741" s="657"/>
      <c r="E741" s="753"/>
      <c r="I741" s="658"/>
      <c r="J741" s="657"/>
      <c r="K741" s="658"/>
      <c r="L741" s="658"/>
    </row>
    <row r="742" spans="4:12" x14ac:dyDescent="0.25">
      <c r="D742" s="657"/>
      <c r="E742" s="753"/>
      <c r="I742" s="658"/>
      <c r="J742" s="657"/>
      <c r="K742" s="658"/>
      <c r="L742" s="658"/>
    </row>
    <row r="743" spans="4:12" x14ac:dyDescent="0.25">
      <c r="D743" s="657"/>
      <c r="E743" s="753"/>
      <c r="I743" s="658"/>
      <c r="J743" s="657"/>
      <c r="K743" s="658"/>
      <c r="L743" s="658"/>
    </row>
  </sheetData>
  <sheetProtection algorithmName="SHA-512" hashValue="9JX/9aBNW/abBILL4ZHBYicrDHqa7x6uKkBwicDLsuEiUWeiTe2clXuWFAaS4jcw7WNdQzK/X7fTa5Vo8xLxxA==" saltValue="yOuKr7Qsd9g5n0lovbkKnA==" spinCount="100000" sheet="1" objects="1" scenarios="1"/>
  <conditionalFormatting sqref="C4:D23">
    <cfRule type="notContainsBlanks" dxfId="35" priority="3">
      <formula>LEN(TRIM(C4))&gt;0</formula>
    </cfRule>
  </conditionalFormatting>
  <conditionalFormatting sqref="F4:L23">
    <cfRule type="notContainsBlanks" dxfId="34" priority="2">
      <formula>LEN(TRIM(F4))&gt;0</formula>
    </cfRule>
  </conditionalFormatting>
  <conditionalFormatting sqref="M4:M8">
    <cfRule type="notContainsBlanks" dxfId="33" priority="1">
      <formula>LEN(TRIM(M4))&gt;0</formula>
    </cfRule>
  </conditionalFormatting>
  <dataValidations count="2">
    <dataValidation type="list" allowBlank="1" showInputMessage="1" showErrorMessage="1" sqref="I4:I23" xr:uid="{00000000-0002-0000-0800-000000000000}">
      <formula1>$M$4:$M$5</formula1>
    </dataValidation>
    <dataValidation type="list" allowBlank="1" showInputMessage="1" showErrorMessage="1" sqref="L4:L23" xr:uid="{00000000-0002-0000-0800-000001000000}">
      <formula1>$M$6:$M$8</formula1>
    </dataValidation>
  </dataValidation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30</vt:i4>
      </vt:variant>
    </vt:vector>
  </HeadingPairs>
  <TitlesOfParts>
    <vt:vector size="30" baseType="lpstr">
      <vt:lpstr>Tabella PT</vt:lpstr>
      <vt:lpstr>Tabella PE</vt:lpstr>
      <vt:lpstr>Punteggi PT</vt:lpstr>
      <vt:lpstr>Ribassi PE</vt:lpstr>
      <vt:lpstr>AS_Calcolo PT</vt:lpstr>
      <vt:lpstr>AS_CalcoloPE</vt:lpstr>
      <vt:lpstr>AS_CalcoloPtot</vt:lpstr>
      <vt:lpstr>Riepilogo Immobili - BA</vt:lpstr>
      <vt:lpstr>Elenco immobili</vt:lpstr>
      <vt:lpstr>Graduatoria AS</vt:lpstr>
      <vt:lpstr>Valore Appalto Specifico</vt:lpstr>
      <vt:lpstr>Appalto Specifico BA</vt:lpstr>
      <vt:lpstr>ELT</vt:lpstr>
      <vt:lpstr>CLI</vt:lpstr>
      <vt:lpstr>IDR</vt:lpstr>
      <vt:lpstr>ELV</vt:lpstr>
      <vt:lpstr>ANT</vt:lpstr>
      <vt:lpstr>SPE</vt:lpstr>
      <vt:lpstr>PTEC</vt:lpstr>
      <vt:lpstr>PUL_AB</vt:lpstr>
      <vt:lpstr>PUL_ARP</vt:lpstr>
      <vt:lpstr>PPUL</vt:lpstr>
      <vt:lpstr>DIS_AB</vt:lpstr>
      <vt:lpstr>DIS_ARP</vt:lpstr>
      <vt:lpstr>SMA</vt:lpstr>
      <vt:lpstr>GIA_ORD</vt:lpstr>
      <vt:lpstr>REC</vt:lpstr>
      <vt:lpstr>FAC</vt:lpstr>
      <vt:lpstr>TRA</vt:lpstr>
      <vt:lpstr>EDI</vt:lpstr>
    </vt:vector>
  </TitlesOfParts>
  <Company>CONSIP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CHESTI Filippo</dc:creator>
  <cp:lastModifiedBy>CHESTI Filippo</cp:lastModifiedBy>
  <cp:lastPrinted>2023-03-28T17:43:55Z</cp:lastPrinted>
  <dcterms:created xsi:type="dcterms:W3CDTF">2019-04-05T07:53:35Z</dcterms:created>
  <dcterms:modified xsi:type="dcterms:W3CDTF">2023-07-19T07:48:34Z</dcterms:modified>
</cp:coreProperties>
</file>