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D:\AGID\00_Desktop\01 - LaborDomi\01 - Personale\PianideiFabbisogni\2022_2024\Aggiornamento\"/>
    </mc:Choice>
  </mc:AlternateContent>
  <xr:revisionPtr revIDLastSave="0" documentId="8_{670DDD3E-257B-4729-BBCF-29562998DD7A}" xr6:coauthVersionLast="47" xr6:coauthVersionMax="47" xr10:uidLastSave="{00000000-0000-0000-0000-000000000000}"/>
  <bookViews>
    <workbookView xWindow="57480" yWindow="-120" windowWidth="29040" windowHeight="15720" tabRatio="617" firstSheet="6" activeTab="8" xr2:uid="{00000000-000D-0000-FFFF-FFFF00000000}"/>
  </bookViews>
  <sheets>
    <sheet name="Tab.1 valore finanziario D.O." sheetId="2" r:id="rId1"/>
    <sheet name="Tab. 2  presenti in servizio" sheetId="3" r:id="rId2"/>
    <sheet name="Tab. 3.1  Cessati anno 2022" sheetId="30" r:id="rId3"/>
    <sheet name="Tab. 3.2  Cessati anno 2023" sheetId="33" r:id="rId4"/>
    <sheet name="Tab. 3.3  Cessati anno 2024" sheetId="39" r:id="rId5"/>
    <sheet name="Tab. 4.1 Assunzioni anno 2023" sheetId="31" r:id="rId6"/>
    <sheet name="Tab. 4.2 Assunzioni anno 2024" sheetId="35" r:id="rId7"/>
    <sheet name="Tab. 4.3 Assunzioni anno 2025" sheetId="36" r:id="rId8"/>
    <sheet name="Tab. 5 Comandati out" sheetId="32" r:id="rId9"/>
    <sheet name="Tab. 6 Verifica  tetto spesa " sheetId="2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30" l="1"/>
  <c r="N42" i="30"/>
  <c r="E11" i="32"/>
  <c r="C11" i="32"/>
  <c r="G11" i="32" s="1"/>
  <c r="E10" i="32"/>
  <c r="C10" i="32"/>
  <c r="G10" i="32" s="1"/>
  <c r="E11" i="36"/>
  <c r="C11" i="36"/>
  <c r="E10" i="36"/>
  <c r="C10" i="36"/>
  <c r="E11" i="35"/>
  <c r="G11" i="35" s="1"/>
  <c r="H11" i="35" s="1"/>
  <c r="C11" i="35"/>
  <c r="E10" i="35"/>
  <c r="G10" i="35" s="1"/>
  <c r="C10" i="35"/>
  <c r="E11" i="31"/>
  <c r="C11" i="31"/>
  <c r="E10" i="31"/>
  <c r="C10" i="31"/>
  <c r="G10" i="31" s="1"/>
  <c r="E11" i="39"/>
  <c r="C11" i="39"/>
  <c r="E10" i="39"/>
  <c r="C10" i="39"/>
  <c r="E11" i="33"/>
  <c r="C11" i="33"/>
  <c r="E10" i="33"/>
  <c r="C10" i="33"/>
  <c r="E11" i="30"/>
  <c r="C11" i="30"/>
  <c r="E10" i="30"/>
  <c r="C10" i="30"/>
  <c r="E11" i="3"/>
  <c r="C11" i="3"/>
  <c r="E10" i="3"/>
  <c r="C10" i="3"/>
  <c r="E11" i="2"/>
  <c r="E10" i="2"/>
  <c r="C11" i="2"/>
  <c r="C10" i="2"/>
  <c r="N2" i="31"/>
  <c r="P21" i="35"/>
  <c r="I21" i="35"/>
  <c r="J21" i="35"/>
  <c r="K21" i="35"/>
  <c r="J29" i="31"/>
  <c r="I29" i="31"/>
  <c r="K21" i="31"/>
  <c r="J21" i="31"/>
  <c r="I21" i="31"/>
  <c r="H11" i="32" l="1"/>
  <c r="H10" i="32"/>
  <c r="I10" i="32" s="1"/>
  <c r="I11" i="32"/>
  <c r="G10" i="36"/>
  <c r="H10" i="36" s="1"/>
  <c r="G11" i="36"/>
  <c r="H11" i="36" s="1"/>
  <c r="K11" i="35"/>
  <c r="J11" i="35"/>
  <c r="I11" i="35"/>
  <c r="L11" i="35" s="1"/>
  <c r="H10" i="35"/>
  <c r="G11" i="31"/>
  <c r="H11" i="31" s="1"/>
  <c r="H10" i="31"/>
  <c r="G10" i="39"/>
  <c r="H10" i="39" s="1"/>
  <c r="G11" i="39"/>
  <c r="H11" i="39" s="1"/>
  <c r="G10" i="33"/>
  <c r="H10" i="33" s="1"/>
  <c r="G11" i="33"/>
  <c r="H11" i="33" s="1"/>
  <c r="G10" i="30"/>
  <c r="H10" i="30" s="1"/>
  <c r="G11" i="30"/>
  <c r="H11" i="30" s="1"/>
  <c r="G11" i="3"/>
  <c r="H11" i="3" s="1"/>
  <c r="G10" i="3"/>
  <c r="H10" i="3" s="1"/>
  <c r="M40" i="32"/>
  <c r="J11" i="36" l="1"/>
  <c r="I11" i="36"/>
  <c r="L11" i="36" s="1"/>
  <c r="K11" i="36"/>
  <c r="J10" i="36"/>
  <c r="I10" i="36"/>
  <c r="K10" i="36"/>
  <c r="L10" i="36"/>
  <c r="K10" i="35"/>
  <c r="J10" i="35"/>
  <c r="I10" i="35"/>
  <c r="L10" i="35" s="1"/>
  <c r="K11" i="31"/>
  <c r="J11" i="31"/>
  <c r="I11" i="31"/>
  <c r="L11" i="31" s="1"/>
  <c r="L10" i="31"/>
  <c r="K10" i="31"/>
  <c r="J10" i="31"/>
  <c r="I10" i="31"/>
  <c r="K11" i="39"/>
  <c r="J11" i="39"/>
  <c r="I11" i="39"/>
  <c r="I10" i="39"/>
  <c r="K10" i="39"/>
  <c r="J10" i="39"/>
  <c r="K11" i="33"/>
  <c r="J11" i="33"/>
  <c r="I11" i="33"/>
  <c r="L11" i="33" s="1"/>
  <c r="K10" i="33"/>
  <c r="J10" i="33"/>
  <c r="I10" i="33"/>
  <c r="L10" i="33" s="1"/>
  <c r="K11" i="30"/>
  <c r="J11" i="30"/>
  <c r="I11" i="30"/>
  <c r="L11" i="30" s="1"/>
  <c r="K10" i="30"/>
  <c r="J10" i="30"/>
  <c r="I10" i="30"/>
  <c r="L10" i="30" s="1"/>
  <c r="K10" i="3"/>
  <c r="J10" i="3"/>
  <c r="I10" i="3"/>
  <c r="L10" i="3" s="1"/>
  <c r="K11" i="3"/>
  <c r="J11" i="3"/>
  <c r="I11" i="3"/>
  <c r="M43" i="31"/>
  <c r="M42" i="39"/>
  <c r="M41" i="39"/>
  <c r="M40" i="39"/>
  <c r="E38" i="39"/>
  <c r="G38" i="39" s="1"/>
  <c r="H38" i="39" s="1"/>
  <c r="J38" i="39" s="1"/>
  <c r="E37" i="39"/>
  <c r="G37" i="39" s="1"/>
  <c r="H37" i="39" s="1"/>
  <c r="J37" i="39" s="1"/>
  <c r="E36" i="39"/>
  <c r="G36" i="39" s="1"/>
  <c r="H36" i="39" s="1"/>
  <c r="I36" i="39" s="1"/>
  <c r="E34" i="39"/>
  <c r="G34" i="39" s="1"/>
  <c r="H34" i="39" s="1"/>
  <c r="J34" i="39" s="1"/>
  <c r="E33" i="39"/>
  <c r="G33" i="39" s="1"/>
  <c r="H33" i="39" s="1"/>
  <c r="J33" i="39" s="1"/>
  <c r="E32" i="39"/>
  <c r="G32" i="39" s="1"/>
  <c r="H32" i="39" s="1"/>
  <c r="E31" i="39"/>
  <c r="G31" i="39" s="1"/>
  <c r="H31" i="39" s="1"/>
  <c r="E30" i="39"/>
  <c r="G30" i="39" s="1"/>
  <c r="H30" i="39" s="1"/>
  <c r="E29" i="39"/>
  <c r="G29" i="39" s="1"/>
  <c r="H29" i="39" s="1"/>
  <c r="J29" i="39" s="1"/>
  <c r="E27" i="39"/>
  <c r="G27" i="39" s="1"/>
  <c r="H27" i="39" s="1"/>
  <c r="K27" i="39" s="1"/>
  <c r="E26" i="39"/>
  <c r="G26" i="39" s="1"/>
  <c r="H26" i="39" s="1"/>
  <c r="J26" i="39" s="1"/>
  <c r="E25" i="39"/>
  <c r="G25" i="39" s="1"/>
  <c r="H25" i="39" s="1"/>
  <c r="E24" i="39"/>
  <c r="G24" i="39" s="1"/>
  <c r="H24" i="39" s="1"/>
  <c r="J24" i="39" s="1"/>
  <c r="E23" i="39"/>
  <c r="G23" i="39" s="1"/>
  <c r="H23" i="39" s="1"/>
  <c r="E22" i="39"/>
  <c r="G22" i="39" s="1"/>
  <c r="H22" i="39" s="1"/>
  <c r="E21" i="39"/>
  <c r="G21" i="39" s="1"/>
  <c r="H21" i="39" s="1"/>
  <c r="E20" i="39"/>
  <c r="G20" i="39" s="1"/>
  <c r="H20" i="39"/>
  <c r="I20" i="39" s="1"/>
  <c r="E19" i="39"/>
  <c r="G19" i="39" s="1"/>
  <c r="H19" i="39" s="1"/>
  <c r="K19" i="39" s="1"/>
  <c r="E18" i="39"/>
  <c r="G18" i="39" s="1"/>
  <c r="H18" i="39" s="1"/>
  <c r="K18" i="39" s="1"/>
  <c r="E17" i="39"/>
  <c r="G17" i="39" s="1"/>
  <c r="H17" i="39" s="1"/>
  <c r="J30" i="36"/>
  <c r="J38" i="36"/>
  <c r="I30" i="36"/>
  <c r="I38" i="36"/>
  <c r="J29" i="35"/>
  <c r="J37" i="35"/>
  <c r="I29" i="35"/>
  <c r="I37" i="35"/>
  <c r="J30" i="31"/>
  <c r="J37" i="31"/>
  <c r="J38" i="31"/>
  <c r="I30" i="31"/>
  <c r="I37" i="31"/>
  <c r="I38" i="31"/>
  <c r="E38" i="32"/>
  <c r="G38" i="32"/>
  <c r="H38" i="32" s="1"/>
  <c r="E37" i="32"/>
  <c r="G37" i="32" s="1"/>
  <c r="H37" i="32" s="1"/>
  <c r="E36" i="32"/>
  <c r="G36" i="32" s="1"/>
  <c r="H36" i="32" s="1"/>
  <c r="E34" i="32"/>
  <c r="G34" i="32" s="1"/>
  <c r="H34" i="32" s="1"/>
  <c r="E33" i="32"/>
  <c r="G33" i="32"/>
  <c r="H33" i="32" s="1"/>
  <c r="K33" i="32" s="1"/>
  <c r="E32" i="32"/>
  <c r="G32" i="32"/>
  <c r="H32" i="32"/>
  <c r="E31" i="32"/>
  <c r="G31" i="32"/>
  <c r="H31" i="32" s="1"/>
  <c r="E30" i="32"/>
  <c r="G30" i="32" s="1"/>
  <c r="H30" i="32" s="1"/>
  <c r="E29" i="32"/>
  <c r="G29" i="32"/>
  <c r="H29" i="32" s="1"/>
  <c r="E27" i="32"/>
  <c r="G27" i="32" s="1"/>
  <c r="H27" i="32" s="1"/>
  <c r="E26" i="32"/>
  <c r="G26" i="32" s="1"/>
  <c r="H26" i="32" s="1"/>
  <c r="E25" i="32"/>
  <c r="G25" i="32" s="1"/>
  <c r="H25" i="32" s="1"/>
  <c r="E24" i="32"/>
  <c r="G24" i="32" s="1"/>
  <c r="H24" i="32" s="1"/>
  <c r="E23" i="32"/>
  <c r="G23" i="32"/>
  <c r="H23" i="32"/>
  <c r="E22" i="32"/>
  <c r="G22" i="32"/>
  <c r="H22" i="32" s="1"/>
  <c r="K22" i="32" s="1"/>
  <c r="E21" i="32"/>
  <c r="G21" i="32" s="1"/>
  <c r="H21" i="32" s="1"/>
  <c r="E20" i="32"/>
  <c r="G20" i="32"/>
  <c r="H20" i="32" s="1"/>
  <c r="E19" i="32"/>
  <c r="G19" i="32" s="1"/>
  <c r="H19" i="32" s="1"/>
  <c r="E18" i="32"/>
  <c r="G18" i="32" s="1"/>
  <c r="H18" i="32" s="1"/>
  <c r="I18" i="32" s="1"/>
  <c r="E17" i="32"/>
  <c r="G17" i="32" s="1"/>
  <c r="H17" i="32" s="1"/>
  <c r="O43" i="36"/>
  <c r="N43" i="36"/>
  <c r="M43" i="36"/>
  <c r="E41" i="36"/>
  <c r="G41" i="36" s="1"/>
  <c r="H41" i="36" s="1"/>
  <c r="E40" i="36"/>
  <c r="G40" i="36" s="1"/>
  <c r="H40" i="36" s="1"/>
  <c r="K40" i="36" s="1"/>
  <c r="E39" i="36"/>
  <c r="G39" i="36"/>
  <c r="H39" i="36" s="1"/>
  <c r="K39" i="36" s="1"/>
  <c r="E36" i="36"/>
  <c r="G36" i="36" s="1"/>
  <c r="H36" i="36" s="1"/>
  <c r="E35" i="36"/>
  <c r="G35" i="36" s="1"/>
  <c r="H35" i="36" s="1"/>
  <c r="E34" i="36"/>
  <c r="G34" i="36" s="1"/>
  <c r="H34" i="36" s="1"/>
  <c r="K34" i="36" s="1"/>
  <c r="E33" i="36"/>
  <c r="G33" i="36" s="1"/>
  <c r="H33" i="36" s="1"/>
  <c r="K33" i="36" s="1"/>
  <c r="E32" i="36"/>
  <c r="G32" i="36" s="1"/>
  <c r="H32" i="36" s="1"/>
  <c r="J32" i="36" s="1"/>
  <c r="E31" i="36"/>
  <c r="G31" i="36" s="1"/>
  <c r="H31" i="36" s="1"/>
  <c r="E28" i="36"/>
  <c r="G28" i="36"/>
  <c r="H28" i="36" s="1"/>
  <c r="I28" i="36" s="1"/>
  <c r="E27" i="36"/>
  <c r="G27" i="36" s="1"/>
  <c r="H27" i="36" s="1"/>
  <c r="J27" i="36" s="1"/>
  <c r="E26" i="36"/>
  <c r="G26" i="36" s="1"/>
  <c r="H26" i="36" s="1"/>
  <c r="E25" i="36"/>
  <c r="G25" i="36" s="1"/>
  <c r="H25" i="36" s="1"/>
  <c r="I25" i="36" s="1"/>
  <c r="E24" i="36"/>
  <c r="G24" i="36" s="1"/>
  <c r="H24" i="36" s="1"/>
  <c r="I24" i="36" s="1"/>
  <c r="E23" i="36"/>
  <c r="G23" i="36" s="1"/>
  <c r="H23" i="36" s="1"/>
  <c r="K23" i="36" s="1"/>
  <c r="E22" i="36"/>
  <c r="G22" i="36" s="1"/>
  <c r="H22" i="36" s="1"/>
  <c r="E20" i="36"/>
  <c r="G20" i="36"/>
  <c r="H20" i="36"/>
  <c r="K20" i="36" s="1"/>
  <c r="E19" i="36"/>
  <c r="G19" i="36" s="1"/>
  <c r="H19" i="36" s="1"/>
  <c r="E18" i="36"/>
  <c r="G18" i="36" s="1"/>
  <c r="H18" i="36" s="1"/>
  <c r="E17" i="36"/>
  <c r="G17" i="36" s="1"/>
  <c r="H17" i="36" s="1"/>
  <c r="K17" i="36" s="1"/>
  <c r="O42" i="35"/>
  <c r="N42" i="35"/>
  <c r="E40" i="35"/>
  <c r="G40" i="35" s="1"/>
  <c r="H40" i="35" s="1"/>
  <c r="K40" i="35" s="1"/>
  <c r="E39" i="35"/>
  <c r="G39" i="35" s="1"/>
  <c r="H39" i="35" s="1"/>
  <c r="E38" i="35"/>
  <c r="G38" i="35" s="1"/>
  <c r="H38" i="35" s="1"/>
  <c r="K38" i="35" s="1"/>
  <c r="E35" i="35"/>
  <c r="G35" i="35" s="1"/>
  <c r="H35" i="35" s="1"/>
  <c r="E34" i="35"/>
  <c r="G34" i="35" s="1"/>
  <c r="H34" i="35" s="1"/>
  <c r="E33" i="35"/>
  <c r="G33" i="35" s="1"/>
  <c r="H33" i="35" s="1"/>
  <c r="J33" i="35" s="1"/>
  <c r="E32" i="35"/>
  <c r="G32" i="35"/>
  <c r="H32" i="35" s="1"/>
  <c r="K32" i="35" s="1"/>
  <c r="E31" i="35"/>
  <c r="G31" i="35" s="1"/>
  <c r="H31" i="35" s="1"/>
  <c r="J31" i="35" s="1"/>
  <c r="E30" i="35"/>
  <c r="G30" i="35" s="1"/>
  <c r="H30" i="35" s="1"/>
  <c r="J30" i="35" s="1"/>
  <c r="E27" i="35"/>
  <c r="G27" i="35" s="1"/>
  <c r="H27" i="35" s="1"/>
  <c r="J27" i="35" s="1"/>
  <c r="E26" i="35"/>
  <c r="G26" i="35" s="1"/>
  <c r="H26" i="35" s="1"/>
  <c r="J26" i="35" s="1"/>
  <c r="E25" i="35"/>
  <c r="G25" i="35"/>
  <c r="H25" i="35"/>
  <c r="K25" i="35" s="1"/>
  <c r="E24" i="35"/>
  <c r="G24" i="35" s="1"/>
  <c r="H24" i="35" s="1"/>
  <c r="I24" i="35" s="1"/>
  <c r="E23" i="35"/>
  <c r="G23" i="35" s="1"/>
  <c r="H23" i="35" s="1"/>
  <c r="J23" i="35" s="1"/>
  <c r="E22" i="35"/>
  <c r="G22" i="35" s="1"/>
  <c r="H22" i="35" s="1"/>
  <c r="E20" i="35"/>
  <c r="G20" i="35" s="1"/>
  <c r="H20" i="35" s="1"/>
  <c r="I20" i="35" s="1"/>
  <c r="E19" i="35"/>
  <c r="G19" i="35" s="1"/>
  <c r="H19" i="35" s="1"/>
  <c r="J19" i="35" s="1"/>
  <c r="E18" i="35"/>
  <c r="G18" i="35"/>
  <c r="H18" i="35" s="1"/>
  <c r="J18" i="35" s="1"/>
  <c r="E17" i="35"/>
  <c r="G17" i="35"/>
  <c r="H17" i="35"/>
  <c r="K17" i="35" s="1"/>
  <c r="E41" i="31"/>
  <c r="G41" i="31"/>
  <c r="H41" i="31" s="1"/>
  <c r="E40" i="31"/>
  <c r="G40" i="31" s="1"/>
  <c r="H40" i="31" s="1"/>
  <c r="E39" i="31"/>
  <c r="G39" i="31"/>
  <c r="H39" i="31" s="1"/>
  <c r="E36" i="31"/>
  <c r="G36" i="31" s="1"/>
  <c r="H36" i="31" s="1"/>
  <c r="E35" i="31"/>
  <c r="G35" i="31" s="1"/>
  <c r="H35" i="31" s="1"/>
  <c r="J35" i="31" s="1"/>
  <c r="E34" i="31"/>
  <c r="G34" i="31" s="1"/>
  <c r="H34" i="31" s="1"/>
  <c r="K34" i="31" s="1"/>
  <c r="E33" i="31"/>
  <c r="G33" i="31"/>
  <c r="H33" i="31" s="1"/>
  <c r="E32" i="31"/>
  <c r="G32" i="31" s="1"/>
  <c r="H32" i="31" s="1"/>
  <c r="K32" i="31" s="1"/>
  <c r="E31" i="31"/>
  <c r="G31" i="31"/>
  <c r="H31" i="31" s="1"/>
  <c r="E28" i="31"/>
  <c r="G28" i="31"/>
  <c r="H28" i="31" s="1"/>
  <c r="K28" i="31" s="1"/>
  <c r="E27" i="31"/>
  <c r="G27" i="31"/>
  <c r="H27" i="31" s="1"/>
  <c r="E26" i="31"/>
  <c r="G26" i="31" s="1"/>
  <c r="H26" i="31" s="1"/>
  <c r="K26" i="31" s="1"/>
  <c r="E25" i="31"/>
  <c r="G25" i="31" s="1"/>
  <c r="H25" i="31" s="1"/>
  <c r="E24" i="31"/>
  <c r="G24" i="31" s="1"/>
  <c r="H24" i="31" s="1"/>
  <c r="E23" i="31"/>
  <c r="G23" i="31"/>
  <c r="H23" i="31"/>
  <c r="E22" i="31"/>
  <c r="G22" i="31" s="1"/>
  <c r="H22" i="31" s="1"/>
  <c r="K22" i="31" s="1"/>
  <c r="E20" i="31"/>
  <c r="G20" i="31"/>
  <c r="H20" i="31" s="1"/>
  <c r="K20" i="31"/>
  <c r="E19" i="31"/>
  <c r="G19" i="31" s="1"/>
  <c r="H19" i="31" s="1"/>
  <c r="K19" i="31" s="1"/>
  <c r="E18" i="31"/>
  <c r="G18" i="31" s="1"/>
  <c r="H18" i="31" s="1"/>
  <c r="K18" i="31" s="1"/>
  <c r="E17" i="31"/>
  <c r="G17" i="31"/>
  <c r="H17" i="31"/>
  <c r="E38" i="33"/>
  <c r="G38" i="33" s="1"/>
  <c r="H38" i="33" s="1"/>
  <c r="K38" i="33" s="1"/>
  <c r="E37" i="33"/>
  <c r="G37" i="33" s="1"/>
  <c r="H37" i="33" s="1"/>
  <c r="E36" i="33"/>
  <c r="G36" i="33" s="1"/>
  <c r="H36" i="33" s="1"/>
  <c r="E34" i="33"/>
  <c r="G34" i="33" s="1"/>
  <c r="H34" i="33" s="1"/>
  <c r="K34" i="33" s="1"/>
  <c r="E33" i="33"/>
  <c r="G33" i="33" s="1"/>
  <c r="H33" i="33" s="1"/>
  <c r="E32" i="33"/>
  <c r="G32" i="33" s="1"/>
  <c r="H32" i="33" s="1"/>
  <c r="J32" i="33" s="1"/>
  <c r="E31" i="33"/>
  <c r="G31" i="33" s="1"/>
  <c r="H31" i="33" s="1"/>
  <c r="E30" i="33"/>
  <c r="G30" i="33" s="1"/>
  <c r="H30" i="33" s="1"/>
  <c r="I30" i="33" s="1"/>
  <c r="E29" i="33"/>
  <c r="G29" i="33" s="1"/>
  <c r="H29" i="33" s="1"/>
  <c r="I29" i="33" s="1"/>
  <c r="E27" i="33"/>
  <c r="G27" i="33" s="1"/>
  <c r="H27" i="33" s="1"/>
  <c r="E26" i="33"/>
  <c r="G26" i="33" s="1"/>
  <c r="H26" i="33" s="1"/>
  <c r="E25" i="33"/>
  <c r="G25" i="33" s="1"/>
  <c r="H25" i="33" s="1"/>
  <c r="E24" i="33"/>
  <c r="G24" i="33" s="1"/>
  <c r="H24" i="33" s="1"/>
  <c r="K24" i="33" s="1"/>
  <c r="E23" i="33"/>
  <c r="G23" i="33" s="1"/>
  <c r="H23" i="33" s="1"/>
  <c r="I23" i="33" s="1"/>
  <c r="E22" i="33"/>
  <c r="G22" i="33" s="1"/>
  <c r="H22" i="33" s="1"/>
  <c r="E21" i="33"/>
  <c r="G21" i="33" s="1"/>
  <c r="H21" i="33" s="1"/>
  <c r="E20" i="33"/>
  <c r="G20" i="33" s="1"/>
  <c r="H20" i="33" s="1"/>
  <c r="E19" i="33"/>
  <c r="G19" i="33" s="1"/>
  <c r="H19" i="33" s="1"/>
  <c r="E18" i="33"/>
  <c r="G18" i="33" s="1"/>
  <c r="H18" i="33" s="1"/>
  <c r="J18" i="33" s="1"/>
  <c r="E17" i="33"/>
  <c r="G17" i="33" s="1"/>
  <c r="H17" i="33" s="1"/>
  <c r="I17" i="33" s="1"/>
  <c r="M41" i="30"/>
  <c r="M40" i="30"/>
  <c r="E38" i="30"/>
  <c r="G38" i="30" s="1"/>
  <c r="H38" i="30" s="1"/>
  <c r="E37" i="30"/>
  <c r="G37" i="30" s="1"/>
  <c r="H37" i="30" s="1"/>
  <c r="E36" i="30"/>
  <c r="G36" i="30" s="1"/>
  <c r="H36" i="30" s="1"/>
  <c r="E34" i="30"/>
  <c r="G34" i="30" s="1"/>
  <c r="H34" i="30" s="1"/>
  <c r="E33" i="30"/>
  <c r="G33" i="30" s="1"/>
  <c r="H33" i="30" s="1"/>
  <c r="E32" i="30"/>
  <c r="G32" i="30" s="1"/>
  <c r="H32" i="30" s="1"/>
  <c r="J32" i="30" s="1"/>
  <c r="E31" i="30"/>
  <c r="G31" i="30" s="1"/>
  <c r="H31" i="30" s="1"/>
  <c r="E30" i="30"/>
  <c r="G30" i="30" s="1"/>
  <c r="H30" i="30" s="1"/>
  <c r="E29" i="30"/>
  <c r="G29" i="30" s="1"/>
  <c r="H29" i="30" s="1"/>
  <c r="E27" i="30"/>
  <c r="G27" i="30" s="1"/>
  <c r="H27" i="30" s="1"/>
  <c r="J27" i="30" s="1"/>
  <c r="E26" i="30"/>
  <c r="G26" i="30" s="1"/>
  <c r="H26" i="30" s="1"/>
  <c r="E25" i="30"/>
  <c r="G25" i="30" s="1"/>
  <c r="H25" i="30" s="1"/>
  <c r="K25" i="30" s="1"/>
  <c r="E24" i="30"/>
  <c r="G24" i="30" s="1"/>
  <c r="H24" i="30" s="1"/>
  <c r="E23" i="30"/>
  <c r="G23" i="30" s="1"/>
  <c r="H23" i="30" s="1"/>
  <c r="I23" i="30" s="1"/>
  <c r="E22" i="30"/>
  <c r="G22" i="30" s="1"/>
  <c r="H22" i="30" s="1"/>
  <c r="J22" i="30" s="1"/>
  <c r="E21" i="30"/>
  <c r="G21" i="30" s="1"/>
  <c r="H21" i="30" s="1"/>
  <c r="J21" i="30" s="1"/>
  <c r="E20" i="30"/>
  <c r="G20" i="30" s="1"/>
  <c r="H20" i="30" s="1"/>
  <c r="E19" i="30"/>
  <c r="G19" i="30" s="1"/>
  <c r="H19" i="30" s="1"/>
  <c r="E18" i="30"/>
  <c r="G18" i="30" s="1"/>
  <c r="H18" i="30" s="1"/>
  <c r="K18" i="30" s="1"/>
  <c r="E17" i="30"/>
  <c r="G17" i="30" s="1"/>
  <c r="H17" i="30" s="1"/>
  <c r="E38" i="3"/>
  <c r="G38" i="3"/>
  <c r="H38" i="3" s="1"/>
  <c r="K38" i="3" s="1"/>
  <c r="E37" i="3"/>
  <c r="G37" i="3" s="1"/>
  <c r="H37" i="3" s="1"/>
  <c r="I37" i="3" s="1"/>
  <c r="E36" i="3"/>
  <c r="G36" i="3" s="1"/>
  <c r="H36" i="3" s="1"/>
  <c r="E34" i="3"/>
  <c r="G34" i="3" s="1"/>
  <c r="H34" i="3" s="1"/>
  <c r="E33" i="3"/>
  <c r="G33" i="3" s="1"/>
  <c r="H33" i="3" s="1"/>
  <c r="E32" i="3"/>
  <c r="G32" i="3" s="1"/>
  <c r="H32" i="3" s="1"/>
  <c r="E31" i="3"/>
  <c r="G31" i="3" s="1"/>
  <c r="H31" i="3" s="1"/>
  <c r="I31" i="3" s="1"/>
  <c r="E30" i="3"/>
  <c r="G30" i="3" s="1"/>
  <c r="H30" i="3" s="1"/>
  <c r="J30" i="3" s="1"/>
  <c r="E29" i="3"/>
  <c r="G29" i="3" s="1"/>
  <c r="H29" i="3" s="1"/>
  <c r="K29" i="3" s="1"/>
  <c r="E27" i="3"/>
  <c r="G27" i="3" s="1"/>
  <c r="H27" i="3" s="1"/>
  <c r="E26" i="3"/>
  <c r="G26" i="3" s="1"/>
  <c r="H26" i="3" s="1"/>
  <c r="E25" i="3"/>
  <c r="G25" i="3" s="1"/>
  <c r="H25" i="3" s="1"/>
  <c r="K25" i="3" s="1"/>
  <c r="E24" i="3"/>
  <c r="G24" i="3" s="1"/>
  <c r="H24" i="3" s="1"/>
  <c r="I24" i="3" s="1"/>
  <c r="E23" i="3"/>
  <c r="G23" i="3" s="1"/>
  <c r="H23" i="3" s="1"/>
  <c r="E22" i="3"/>
  <c r="G22" i="3" s="1"/>
  <c r="H22" i="3" s="1"/>
  <c r="K22" i="3" s="1"/>
  <c r="E21" i="3"/>
  <c r="G21" i="3" s="1"/>
  <c r="H21" i="3" s="1"/>
  <c r="I21" i="3" s="1"/>
  <c r="E20" i="3"/>
  <c r="G20" i="3" s="1"/>
  <c r="H20" i="3" s="1"/>
  <c r="J20" i="3" s="1"/>
  <c r="E19" i="3"/>
  <c r="G19" i="3" s="1"/>
  <c r="H19" i="3" s="1"/>
  <c r="J19" i="3" s="1"/>
  <c r="E18" i="3"/>
  <c r="G18" i="3" s="1"/>
  <c r="H18" i="3" s="1"/>
  <c r="E17" i="3"/>
  <c r="G17" i="3" s="1"/>
  <c r="H17" i="3" s="1"/>
  <c r="M40" i="2"/>
  <c r="E20" i="2"/>
  <c r="G20" i="2" s="1"/>
  <c r="H20" i="2" s="1"/>
  <c r="I20" i="2" s="1"/>
  <c r="E19" i="2"/>
  <c r="G19" i="2" s="1"/>
  <c r="H19" i="2" s="1"/>
  <c r="K19" i="2" s="1"/>
  <c r="E18" i="2"/>
  <c r="G18" i="2" s="1"/>
  <c r="H18" i="2" s="1"/>
  <c r="E17" i="2"/>
  <c r="G17" i="2" s="1"/>
  <c r="H17" i="2" s="1"/>
  <c r="E21" i="2"/>
  <c r="G21" i="2" s="1"/>
  <c r="H21" i="2" s="1"/>
  <c r="K21" i="2" s="1"/>
  <c r="E38" i="2"/>
  <c r="G38" i="2" s="1"/>
  <c r="H38" i="2" s="1"/>
  <c r="E37" i="2"/>
  <c r="G37" i="2" s="1"/>
  <c r="H37" i="2" s="1"/>
  <c r="K37" i="2" s="1"/>
  <c r="E36" i="2"/>
  <c r="G36" i="2" s="1"/>
  <c r="H36" i="2" s="1"/>
  <c r="I36" i="2" s="1"/>
  <c r="E34" i="2"/>
  <c r="G34" i="2" s="1"/>
  <c r="H34" i="2" s="1"/>
  <c r="E33" i="2"/>
  <c r="G33" i="2" s="1"/>
  <c r="H33" i="2" s="1"/>
  <c r="J33" i="2" s="1"/>
  <c r="E32" i="2"/>
  <c r="G32" i="2" s="1"/>
  <c r="H32" i="2" s="1"/>
  <c r="I32" i="2" s="1"/>
  <c r="E31" i="2"/>
  <c r="G31" i="2" s="1"/>
  <c r="H31" i="2" s="1"/>
  <c r="J31" i="2" s="1"/>
  <c r="E30" i="2"/>
  <c r="G30" i="2" s="1"/>
  <c r="H30" i="2" s="1"/>
  <c r="J30" i="2" s="1"/>
  <c r="E29" i="2"/>
  <c r="G29" i="2" s="1"/>
  <c r="H29" i="2" s="1"/>
  <c r="K29" i="2" s="1"/>
  <c r="E22" i="2"/>
  <c r="G22" i="2" s="1"/>
  <c r="H22" i="2" s="1"/>
  <c r="E23" i="2"/>
  <c r="G23" i="2" s="1"/>
  <c r="H23" i="2" s="1"/>
  <c r="E24" i="2"/>
  <c r="G24" i="2" s="1"/>
  <c r="H24" i="2" s="1"/>
  <c r="E25" i="2"/>
  <c r="G25" i="2" s="1"/>
  <c r="H25" i="2" s="1"/>
  <c r="K25" i="2" s="1"/>
  <c r="E26" i="2"/>
  <c r="G26" i="2" s="1"/>
  <c r="H26" i="2" s="1"/>
  <c r="K26" i="2" s="1"/>
  <c r="E27" i="2"/>
  <c r="G27" i="2" s="1"/>
  <c r="H27" i="2" s="1"/>
  <c r="G11" i="2"/>
  <c r="M40" i="33"/>
  <c r="M42" i="33" s="1"/>
  <c r="O43" i="31"/>
  <c r="N43" i="31"/>
  <c r="M42" i="30"/>
  <c r="N40" i="3"/>
  <c r="M40" i="3"/>
  <c r="K32" i="32"/>
  <c r="K20" i="32"/>
  <c r="K26" i="32"/>
  <c r="K17" i="32"/>
  <c r="K23" i="32"/>
  <c r="K35" i="31"/>
  <c r="K24" i="31"/>
  <c r="K25" i="31"/>
  <c r="K24" i="3"/>
  <c r="I27" i="3"/>
  <c r="I17" i="3"/>
  <c r="I31" i="31"/>
  <c r="I35" i="31"/>
  <c r="I27" i="32"/>
  <c r="J24" i="31"/>
  <c r="I24" i="31"/>
  <c r="J18" i="32"/>
  <c r="K18" i="32"/>
  <c r="L18" i="32"/>
  <c r="N18" i="32" s="1"/>
  <c r="J36" i="32"/>
  <c r="I36" i="32"/>
  <c r="K36" i="32"/>
  <c r="I19" i="3"/>
  <c r="K19" i="3"/>
  <c r="K32" i="33"/>
  <c r="I23" i="31"/>
  <c r="J19" i="30"/>
  <c r="K19" i="30"/>
  <c r="J25" i="30"/>
  <c r="I25" i="30"/>
  <c r="I38" i="30"/>
  <c r="J38" i="30"/>
  <c r="K38" i="30"/>
  <c r="J33" i="31"/>
  <c r="K19" i="32"/>
  <c r="J29" i="30"/>
  <c r="I29" i="30"/>
  <c r="K29" i="30"/>
  <c r="J37" i="30"/>
  <c r="I37" i="30"/>
  <c r="J25" i="3"/>
  <c r="I36" i="3"/>
  <c r="J36" i="3"/>
  <c r="K36" i="3"/>
  <c r="I26" i="31"/>
  <c r="J26" i="31"/>
  <c r="J23" i="36"/>
  <c r="I23" i="36"/>
  <c r="J20" i="30"/>
  <c r="I20" i="31"/>
  <c r="J20" i="31"/>
  <c r="J41" i="31"/>
  <c r="J24" i="36"/>
  <c r="J22" i="31"/>
  <c r="I22" i="31"/>
  <c r="I17" i="32"/>
  <c r="J17" i="32"/>
  <c r="J23" i="32"/>
  <c r="I23" i="32"/>
  <c r="L23" i="32"/>
  <c r="N23" i="32" s="1"/>
  <c r="I27" i="31"/>
  <c r="J39" i="31"/>
  <c r="J29" i="32"/>
  <c r="I18" i="31"/>
  <c r="J18" i="31"/>
  <c r="I28" i="31"/>
  <c r="J28" i="31"/>
  <c r="I34" i="31"/>
  <c r="J34" i="31"/>
  <c r="J24" i="32"/>
  <c r="J30" i="32"/>
  <c r="I30" i="32"/>
  <c r="I19" i="31"/>
  <c r="J19" i="31"/>
  <c r="L19" i="31" s="1"/>
  <c r="P19" i="31" s="1"/>
  <c r="I31" i="32"/>
  <c r="I20" i="32"/>
  <c r="J20" i="32"/>
  <c r="J32" i="32"/>
  <c r="I32" i="32"/>
  <c r="L32" i="32" s="1"/>
  <c r="N32" i="32" s="1"/>
  <c r="I25" i="31"/>
  <c r="J25" i="31"/>
  <c r="L25" i="31" s="1"/>
  <c r="P25" i="31" s="1"/>
  <c r="J26" i="32"/>
  <c r="I26" i="32"/>
  <c r="L26" i="32"/>
  <c r="N26" i="32" s="1"/>
  <c r="J32" i="31"/>
  <c r="I32" i="31"/>
  <c r="J25" i="35"/>
  <c r="I25" i="35"/>
  <c r="J22" i="32"/>
  <c r="I22" i="32"/>
  <c r="L22" i="32"/>
  <c r="N22" i="32" s="1"/>
  <c r="I33" i="32"/>
  <c r="J33" i="32"/>
  <c r="L33" i="32" s="1"/>
  <c r="N33" i="32" s="1"/>
  <c r="L22" i="31"/>
  <c r="L28" i="31"/>
  <c r="L18" i="31"/>
  <c r="P18" i="31" s="1"/>
  <c r="L26" i="31"/>
  <c r="P26" i="31"/>
  <c r="J11" i="32"/>
  <c r="K11" i="32"/>
  <c r="L32" i="31"/>
  <c r="P32" i="31"/>
  <c r="L35" i="31"/>
  <c r="P35" i="31" s="1"/>
  <c r="L20" i="32"/>
  <c r="N20" i="32" s="1"/>
  <c r="J18" i="39"/>
  <c r="L11" i="3" l="1"/>
  <c r="K37" i="39"/>
  <c r="L10" i="39"/>
  <c r="I38" i="39"/>
  <c r="L11" i="39"/>
  <c r="K29" i="39"/>
  <c r="I37" i="39"/>
  <c r="K22" i="39"/>
  <c r="J22" i="39"/>
  <c r="I22" i="39"/>
  <c r="I29" i="39"/>
  <c r="K23" i="39"/>
  <c r="I23" i="39"/>
  <c r="J19" i="39"/>
  <c r="I19" i="39"/>
  <c r="L19" i="39" s="1"/>
  <c r="N19" i="39" s="1"/>
  <c r="I34" i="39"/>
  <c r="K34" i="39"/>
  <c r="K33" i="39"/>
  <c r="I30" i="39"/>
  <c r="J30" i="39"/>
  <c r="K31" i="39"/>
  <c r="J31" i="39"/>
  <c r="I31" i="39"/>
  <c r="L31" i="39" s="1"/>
  <c r="N31" i="39" s="1"/>
  <c r="J20" i="39"/>
  <c r="J36" i="39"/>
  <c r="K36" i="39"/>
  <c r="I32" i="39"/>
  <c r="K32" i="39"/>
  <c r="J32" i="39"/>
  <c r="L32" i="39" s="1"/>
  <c r="N32" i="39" s="1"/>
  <c r="K25" i="39"/>
  <c r="J25" i="39"/>
  <c r="I25" i="39"/>
  <c r="K21" i="39"/>
  <c r="J21" i="39"/>
  <c r="I21" i="39"/>
  <c r="J23" i="39"/>
  <c r="K30" i="39"/>
  <c r="I27" i="39"/>
  <c r="I26" i="39"/>
  <c r="J27" i="39"/>
  <c r="I18" i="39"/>
  <c r="L18" i="39" s="1"/>
  <c r="N18" i="39" s="1"/>
  <c r="J17" i="39"/>
  <c r="K26" i="39"/>
  <c r="I17" i="39"/>
  <c r="K17" i="39"/>
  <c r="I33" i="39"/>
  <c r="L37" i="39"/>
  <c r="N37" i="39" s="1"/>
  <c r="I32" i="33"/>
  <c r="L32" i="33" s="1"/>
  <c r="N32" i="33" s="1"/>
  <c r="J29" i="33"/>
  <c r="K29" i="33"/>
  <c r="K23" i="33"/>
  <c r="J23" i="33"/>
  <c r="K25" i="33"/>
  <c r="J25" i="33"/>
  <c r="I25" i="33"/>
  <c r="J27" i="33"/>
  <c r="I27" i="33"/>
  <c r="K27" i="33"/>
  <c r="J38" i="33"/>
  <c r="I38" i="33"/>
  <c r="I18" i="33"/>
  <c r="I18" i="30"/>
  <c r="L38" i="30"/>
  <c r="N38" i="30" s="1"/>
  <c r="L29" i="30"/>
  <c r="N29" i="30" s="1"/>
  <c r="J33" i="30"/>
  <c r="I33" i="30"/>
  <c r="J18" i="30"/>
  <c r="J31" i="30"/>
  <c r="I31" i="30"/>
  <c r="K31" i="30"/>
  <c r="J26" i="30"/>
  <c r="K26" i="30"/>
  <c r="I27" i="30"/>
  <c r="K27" i="30"/>
  <c r="K33" i="30"/>
  <c r="L19" i="3"/>
  <c r="O19" i="3" s="1"/>
  <c r="I22" i="3"/>
  <c r="K37" i="3"/>
  <c r="J22" i="3"/>
  <c r="K34" i="3"/>
  <c r="I34" i="3"/>
  <c r="J34" i="3"/>
  <c r="I30" i="3"/>
  <c r="K30" i="3"/>
  <c r="I25" i="3"/>
  <c r="L25" i="3" s="1"/>
  <c r="O25" i="3" s="1"/>
  <c r="I19" i="2"/>
  <c r="J37" i="2"/>
  <c r="J36" i="2"/>
  <c r="K36" i="2"/>
  <c r="H11" i="2"/>
  <c r="J11" i="2" s="1"/>
  <c r="J25" i="2"/>
  <c r="J26" i="2"/>
  <c r="I26" i="2"/>
  <c r="I25" i="2"/>
  <c r="I21" i="2"/>
  <c r="K31" i="2"/>
  <c r="J21" i="2"/>
  <c r="K18" i="2"/>
  <c r="I18" i="2"/>
  <c r="J18" i="2"/>
  <c r="I30" i="2"/>
  <c r="K33" i="2"/>
  <c r="L33" i="2" s="1"/>
  <c r="N33" i="2" s="1"/>
  <c r="I33" i="2"/>
  <c r="I37" i="2"/>
  <c r="J29" i="2"/>
  <c r="K30" i="2"/>
  <c r="I29" i="2"/>
  <c r="L11" i="32"/>
  <c r="N11" i="32" s="1"/>
  <c r="P22" i="31"/>
  <c r="L17" i="32"/>
  <c r="N17" i="32" s="1"/>
  <c r="L20" i="31"/>
  <c r="L36" i="3"/>
  <c r="O36" i="3" s="1"/>
  <c r="L25" i="30"/>
  <c r="N25" i="30" s="1"/>
  <c r="L36" i="2"/>
  <c r="N36" i="2" s="1"/>
  <c r="P10" i="31"/>
  <c r="L36" i="32"/>
  <c r="N36" i="32" s="1"/>
  <c r="L23" i="33"/>
  <c r="N23" i="33" s="1"/>
  <c r="L24" i="31"/>
  <c r="P24" i="31" s="1"/>
  <c r="K24" i="36"/>
  <c r="J26" i="36"/>
  <c r="I26" i="36"/>
  <c r="L23" i="36"/>
  <c r="P23" i="36" s="1"/>
  <c r="J17" i="36"/>
  <c r="J22" i="36"/>
  <c r="K22" i="36"/>
  <c r="I41" i="36"/>
  <c r="K41" i="36"/>
  <c r="J41" i="36"/>
  <c r="I17" i="36"/>
  <c r="K26" i="36"/>
  <c r="L26" i="36" s="1"/>
  <c r="P26" i="36" s="1"/>
  <c r="J33" i="36"/>
  <c r="J28" i="36"/>
  <c r="K36" i="36"/>
  <c r="I36" i="36"/>
  <c r="J36" i="36"/>
  <c r="K31" i="36"/>
  <c r="I31" i="36"/>
  <c r="J31" i="36"/>
  <c r="K19" i="36"/>
  <c r="J19" i="36"/>
  <c r="I19" i="36"/>
  <c r="I20" i="36"/>
  <c r="I34" i="36"/>
  <c r="I33" i="36"/>
  <c r="L33" i="36" s="1"/>
  <c r="P33" i="36" s="1"/>
  <c r="K28" i="36"/>
  <c r="J40" i="36"/>
  <c r="J20" i="36"/>
  <c r="I40" i="36"/>
  <c r="J34" i="36"/>
  <c r="J40" i="35"/>
  <c r="I30" i="35"/>
  <c r="J17" i="35"/>
  <c r="K30" i="35"/>
  <c r="I17" i="35"/>
  <c r="L17" i="35" s="1"/>
  <c r="P17" i="35" s="1"/>
  <c r="I40" i="35"/>
  <c r="L40" i="35" s="1"/>
  <c r="P40" i="35" s="1"/>
  <c r="J35" i="35"/>
  <c r="K35" i="35"/>
  <c r="I35" i="35"/>
  <c r="I31" i="35"/>
  <c r="K20" i="35"/>
  <c r="K31" i="35"/>
  <c r="J20" i="35"/>
  <c r="L25" i="35"/>
  <c r="P25" i="35" s="1"/>
  <c r="K18" i="36"/>
  <c r="J18" i="36"/>
  <c r="I18" i="36"/>
  <c r="J34" i="2"/>
  <c r="I34" i="2"/>
  <c r="K34" i="2"/>
  <c r="K21" i="32"/>
  <c r="J21" i="32"/>
  <c r="I21" i="32"/>
  <c r="L21" i="32" s="1"/>
  <c r="N21" i="32" s="1"/>
  <c r="I22" i="2"/>
  <c r="K22" i="2"/>
  <c r="J22" i="2"/>
  <c r="I33" i="3"/>
  <c r="K33" i="3"/>
  <c r="K23" i="35"/>
  <c r="K25" i="32"/>
  <c r="J25" i="32"/>
  <c r="K38" i="32"/>
  <c r="J38" i="32"/>
  <c r="K38" i="39"/>
  <c r="L38" i="39" s="1"/>
  <c r="N38" i="39" s="1"/>
  <c r="K24" i="39"/>
  <c r="K23" i="3"/>
  <c r="J23" i="3"/>
  <c r="K22" i="33"/>
  <c r="J22" i="33"/>
  <c r="I22" i="33"/>
  <c r="K27" i="31"/>
  <c r="J27" i="31"/>
  <c r="K39" i="35"/>
  <c r="J39" i="35"/>
  <c r="J35" i="36"/>
  <c r="I35" i="36"/>
  <c r="K34" i="32"/>
  <c r="I34" i="32"/>
  <c r="J34" i="32"/>
  <c r="L34" i="32"/>
  <c r="N34" i="32" s="1"/>
  <c r="I39" i="35"/>
  <c r="L24" i="36"/>
  <c r="P24" i="36" s="1"/>
  <c r="J33" i="3"/>
  <c r="K31" i="3"/>
  <c r="J31" i="3"/>
  <c r="J17" i="31"/>
  <c r="I17" i="31"/>
  <c r="K17" i="31"/>
  <c r="K22" i="35"/>
  <c r="I22" i="35"/>
  <c r="J22" i="35"/>
  <c r="I26" i="35"/>
  <c r="K26" i="35"/>
  <c r="K34" i="35"/>
  <c r="J34" i="35"/>
  <c r="I34" i="35"/>
  <c r="K31" i="32"/>
  <c r="J31" i="32"/>
  <c r="L31" i="32" s="1"/>
  <c r="N31" i="32" s="1"/>
  <c r="K24" i="30"/>
  <c r="I24" i="30"/>
  <c r="J24" i="30"/>
  <c r="K27" i="35"/>
  <c r="I27" i="35"/>
  <c r="I38" i="3"/>
  <c r="J38" i="3"/>
  <c r="L38" i="3" s="1"/>
  <c r="O38" i="3" s="1"/>
  <c r="K22" i="30"/>
  <c r="I22" i="30"/>
  <c r="K26" i="33"/>
  <c r="I26" i="33"/>
  <c r="J31" i="33"/>
  <c r="I31" i="33"/>
  <c r="K31" i="33"/>
  <c r="L31" i="33" s="1"/>
  <c r="N31" i="33" s="1"/>
  <c r="K33" i="35"/>
  <c r="K30" i="32"/>
  <c r="L30" i="32"/>
  <c r="N30" i="32" s="1"/>
  <c r="I25" i="32"/>
  <c r="L25" i="32" s="1"/>
  <c r="N25" i="32" s="1"/>
  <c r="I23" i="35"/>
  <c r="I33" i="35"/>
  <c r="I23" i="3"/>
  <c r="K27" i="2"/>
  <c r="I27" i="2"/>
  <c r="J27" i="2"/>
  <c r="J32" i="3"/>
  <c r="I32" i="3"/>
  <c r="K32" i="3"/>
  <c r="J17" i="30"/>
  <c r="K17" i="30"/>
  <c r="I17" i="30"/>
  <c r="K23" i="30"/>
  <c r="J23" i="30"/>
  <c r="J17" i="33"/>
  <c r="K17" i="33"/>
  <c r="K33" i="33"/>
  <c r="J33" i="33"/>
  <c r="I33" i="33"/>
  <c r="K23" i="31"/>
  <c r="J23" i="31"/>
  <c r="L23" i="31" s="1"/>
  <c r="K25" i="36"/>
  <c r="J25" i="36"/>
  <c r="K24" i="32"/>
  <c r="I24" i="32"/>
  <c r="L24" i="32" s="1"/>
  <c r="N24" i="32" s="1"/>
  <c r="J37" i="32"/>
  <c r="I37" i="32"/>
  <c r="K37" i="32"/>
  <c r="I30" i="30"/>
  <c r="K30" i="30"/>
  <c r="P28" i="31"/>
  <c r="I38" i="32"/>
  <c r="L38" i="32" s="1"/>
  <c r="N38" i="32" s="1"/>
  <c r="K26" i="3"/>
  <c r="I26" i="3"/>
  <c r="J26" i="3"/>
  <c r="I19" i="30"/>
  <c r="L19" i="30" s="1"/>
  <c r="N19" i="30" s="1"/>
  <c r="K36" i="30"/>
  <c r="J36" i="30"/>
  <c r="I36" i="30"/>
  <c r="J19" i="33"/>
  <c r="I19" i="33"/>
  <c r="K19" i="33"/>
  <c r="I39" i="31"/>
  <c r="K39" i="31"/>
  <c r="I18" i="35"/>
  <c r="K18" i="35"/>
  <c r="L18" i="35" s="1"/>
  <c r="P18" i="35" s="1"/>
  <c r="K24" i="35"/>
  <c r="J24" i="35"/>
  <c r="K32" i="36"/>
  <c r="I32" i="36"/>
  <c r="K20" i="39"/>
  <c r="N11" i="33"/>
  <c r="L27" i="31"/>
  <c r="P27" i="31" s="1"/>
  <c r="J30" i="30"/>
  <c r="K20" i="3"/>
  <c r="I20" i="3"/>
  <c r="J27" i="3"/>
  <c r="K27" i="3"/>
  <c r="K20" i="30"/>
  <c r="I20" i="30"/>
  <c r="J20" i="33"/>
  <c r="I20" i="33"/>
  <c r="K20" i="33"/>
  <c r="J36" i="33"/>
  <c r="I36" i="33"/>
  <c r="K36" i="33"/>
  <c r="K27" i="36"/>
  <c r="I27" i="36"/>
  <c r="L27" i="36" s="1"/>
  <c r="P27" i="36" s="1"/>
  <c r="K27" i="32"/>
  <c r="J27" i="32"/>
  <c r="K17" i="2"/>
  <c r="J17" i="2"/>
  <c r="I17" i="2"/>
  <c r="K21" i="30"/>
  <c r="I21" i="30"/>
  <c r="L21" i="30"/>
  <c r="N21" i="30" s="1"/>
  <c r="I26" i="30"/>
  <c r="L26" i="30" s="1"/>
  <c r="N26" i="30" s="1"/>
  <c r="K37" i="30"/>
  <c r="L37" i="30" s="1"/>
  <c r="N37" i="30" s="1"/>
  <c r="K37" i="33"/>
  <c r="J37" i="33"/>
  <c r="I37" i="33"/>
  <c r="K40" i="31"/>
  <c r="J40" i="31"/>
  <c r="I40" i="31"/>
  <c r="L40" i="31" s="1"/>
  <c r="P40" i="31" s="1"/>
  <c r="K19" i="35"/>
  <c r="I19" i="35"/>
  <c r="L19" i="35" s="1"/>
  <c r="P19" i="35" s="1"/>
  <c r="J32" i="35"/>
  <c r="I32" i="35"/>
  <c r="L32" i="35" s="1"/>
  <c r="P32" i="35" s="1"/>
  <c r="I38" i="35"/>
  <c r="J38" i="35"/>
  <c r="I22" i="36"/>
  <c r="L22" i="36" s="1"/>
  <c r="K29" i="32"/>
  <c r="I29" i="32"/>
  <c r="I18" i="3"/>
  <c r="J18" i="3"/>
  <c r="K18" i="3"/>
  <c r="K34" i="30"/>
  <c r="I34" i="30"/>
  <c r="J34" i="30"/>
  <c r="J24" i="33"/>
  <c r="I24" i="33"/>
  <c r="J34" i="33"/>
  <c r="I34" i="33"/>
  <c r="J39" i="36"/>
  <c r="J26" i="33"/>
  <c r="I24" i="2"/>
  <c r="K24" i="2"/>
  <c r="J32" i="2"/>
  <c r="K32" i="2"/>
  <c r="K38" i="2"/>
  <c r="J38" i="2"/>
  <c r="I38" i="2"/>
  <c r="K21" i="3"/>
  <c r="J21" i="3"/>
  <c r="I24" i="39"/>
  <c r="I39" i="36"/>
  <c r="L34" i="31"/>
  <c r="P34" i="31" s="1"/>
  <c r="J24" i="2"/>
  <c r="J19" i="2"/>
  <c r="K35" i="36"/>
  <c r="K20" i="2"/>
  <c r="J20" i="2"/>
  <c r="J37" i="3"/>
  <c r="L37" i="3" s="1"/>
  <c r="O37" i="3" s="1"/>
  <c r="K32" i="30"/>
  <c r="I32" i="30"/>
  <c r="K21" i="33"/>
  <c r="I21" i="33"/>
  <c r="J21" i="33"/>
  <c r="K33" i="31"/>
  <c r="I33" i="31"/>
  <c r="L33" i="31"/>
  <c r="P33" i="31" s="1"/>
  <c r="K41" i="31"/>
  <c r="I41" i="31"/>
  <c r="L41" i="31" s="1"/>
  <c r="P41" i="31" s="1"/>
  <c r="J19" i="32"/>
  <c r="I19" i="32"/>
  <c r="L19" i="32"/>
  <c r="N19" i="32" s="1"/>
  <c r="I31" i="2"/>
  <c r="K23" i="2"/>
  <c r="I23" i="2"/>
  <c r="J23" i="2"/>
  <c r="J24" i="3"/>
  <c r="L24" i="3" s="1"/>
  <c r="O24" i="3" s="1"/>
  <c r="K18" i="33"/>
  <c r="I29" i="3"/>
  <c r="J29" i="3"/>
  <c r="J30" i="33"/>
  <c r="K30" i="33"/>
  <c r="K17" i="3"/>
  <c r="J17" i="3"/>
  <c r="K31" i="31"/>
  <c r="J31" i="31"/>
  <c r="L31" i="31" s="1"/>
  <c r="P31" i="31" s="1"/>
  <c r="K36" i="31"/>
  <c r="J36" i="31"/>
  <c r="I36" i="31"/>
  <c r="G10" i="2"/>
  <c r="H10" i="2" s="1"/>
  <c r="L31" i="30" l="1"/>
  <c r="N31" i="30" s="1"/>
  <c r="L18" i="30"/>
  <c r="N18" i="30" s="1"/>
  <c r="L29" i="33"/>
  <c r="N29" i="33" s="1"/>
  <c r="L34" i="39"/>
  <c r="N34" i="39" s="1"/>
  <c r="L17" i="39"/>
  <c r="N17" i="39" s="1"/>
  <c r="L23" i="39"/>
  <c r="N23" i="39" s="1"/>
  <c r="L20" i="39"/>
  <c r="N20" i="39" s="1"/>
  <c r="L29" i="39"/>
  <c r="N29" i="39" s="1"/>
  <c r="L22" i="39"/>
  <c r="N22" i="39" s="1"/>
  <c r="L36" i="39"/>
  <c r="N36" i="39" s="1"/>
  <c r="L33" i="39"/>
  <c r="N33" i="39" s="1"/>
  <c r="N11" i="39"/>
  <c r="L21" i="39"/>
  <c r="N21" i="39" s="1"/>
  <c r="L25" i="39"/>
  <c r="N25" i="39" s="1"/>
  <c r="L30" i="39"/>
  <c r="N30" i="39" s="1"/>
  <c r="L24" i="39"/>
  <c r="N24" i="39" s="1"/>
  <c r="L26" i="39"/>
  <c r="N26" i="39" s="1"/>
  <c r="L27" i="39"/>
  <c r="N27" i="39" s="1"/>
  <c r="L22" i="33"/>
  <c r="N22" i="33" s="1"/>
  <c r="L25" i="33"/>
  <c r="N25" i="33" s="1"/>
  <c r="L38" i="33"/>
  <c r="N38" i="33" s="1"/>
  <c r="L36" i="33"/>
  <c r="N36" i="33" s="1"/>
  <c r="L18" i="33"/>
  <c r="N18" i="33" s="1"/>
  <c r="L27" i="33"/>
  <c r="N27" i="33" s="1"/>
  <c r="L33" i="30"/>
  <c r="N33" i="30" s="1"/>
  <c r="L20" i="30"/>
  <c r="N20" i="30" s="1"/>
  <c r="L24" i="30"/>
  <c r="N24" i="30" s="1"/>
  <c r="L17" i="30"/>
  <c r="N17" i="30" s="1"/>
  <c r="L27" i="30"/>
  <c r="N27" i="30" s="1"/>
  <c r="L34" i="30"/>
  <c r="N34" i="30" s="1"/>
  <c r="L36" i="30"/>
  <c r="N36" i="30" s="1"/>
  <c r="L22" i="30"/>
  <c r="N22" i="30" s="1"/>
  <c r="L17" i="3"/>
  <c r="O17" i="3" s="1"/>
  <c r="L30" i="3"/>
  <c r="L31" i="3"/>
  <c r="O31" i="3" s="1"/>
  <c r="L22" i="3"/>
  <c r="O22" i="3" s="1"/>
  <c r="O10" i="3"/>
  <c r="L23" i="3"/>
  <c r="O23" i="3" s="1"/>
  <c r="L20" i="3"/>
  <c r="O20" i="3" s="1"/>
  <c r="L34" i="3"/>
  <c r="O34" i="3" s="1"/>
  <c r="L21" i="3"/>
  <c r="O21" i="3" s="1"/>
  <c r="L19" i="2"/>
  <c r="N19" i="2" s="1"/>
  <c r="K11" i="2"/>
  <c r="L25" i="2"/>
  <c r="N25" i="2" s="1"/>
  <c r="I11" i="2"/>
  <c r="L37" i="2"/>
  <c r="N37" i="2" s="1"/>
  <c r="L31" i="2"/>
  <c r="N31" i="2" s="1"/>
  <c r="L21" i="2"/>
  <c r="N21" i="2" s="1"/>
  <c r="L26" i="2"/>
  <c r="N26" i="2" s="1"/>
  <c r="L18" i="2"/>
  <c r="N18" i="2" s="1"/>
  <c r="L22" i="2"/>
  <c r="N22" i="2" s="1"/>
  <c r="L24" i="2"/>
  <c r="N24" i="2" s="1"/>
  <c r="L29" i="2"/>
  <c r="N29" i="2" s="1"/>
  <c r="L20" i="2"/>
  <c r="N20" i="2" s="1"/>
  <c r="L30" i="2"/>
  <c r="N30" i="2" s="1"/>
  <c r="L17" i="2"/>
  <c r="N17" i="2" s="1"/>
  <c r="L30" i="33"/>
  <c r="N30" i="33" s="1"/>
  <c r="L29" i="3"/>
  <c r="O29" i="3" s="1"/>
  <c r="L32" i="30"/>
  <c r="N32" i="30" s="1"/>
  <c r="L32" i="2"/>
  <c r="N32" i="2" s="1"/>
  <c r="L34" i="33"/>
  <c r="N34" i="33" s="1"/>
  <c r="L24" i="33"/>
  <c r="N24" i="33" s="1"/>
  <c r="L18" i="3"/>
  <c r="O18" i="3" s="1"/>
  <c r="L27" i="32"/>
  <c r="N27" i="32" s="1"/>
  <c r="L20" i="33"/>
  <c r="N20" i="33" s="1"/>
  <c r="L27" i="3"/>
  <c r="O27" i="3" s="1"/>
  <c r="L39" i="31"/>
  <c r="P39" i="31" s="1"/>
  <c r="L19" i="33"/>
  <c r="N19" i="33" s="1"/>
  <c r="L30" i="30"/>
  <c r="N30" i="30" s="1"/>
  <c r="L37" i="32"/>
  <c r="N37" i="32" s="1"/>
  <c r="L17" i="33"/>
  <c r="N17" i="33" s="1"/>
  <c r="L23" i="30"/>
  <c r="N23" i="30" s="1"/>
  <c r="L32" i="3"/>
  <c r="O32" i="3" s="1"/>
  <c r="L27" i="2"/>
  <c r="N27" i="2" s="1"/>
  <c r="L26" i="33"/>
  <c r="N26" i="33" s="1"/>
  <c r="L33" i="3"/>
  <c r="O33" i="3" s="1"/>
  <c r="L34" i="2"/>
  <c r="N34" i="2" s="1"/>
  <c r="L17" i="36"/>
  <c r="P17" i="36" s="1"/>
  <c r="O30" i="3"/>
  <c r="L21" i="31"/>
  <c r="P20" i="31"/>
  <c r="L28" i="36"/>
  <c r="P28" i="36" s="1"/>
  <c r="L34" i="36"/>
  <c r="P34" i="36" s="1"/>
  <c r="P11" i="36"/>
  <c r="L32" i="36"/>
  <c r="P32" i="36" s="1"/>
  <c r="L20" i="36"/>
  <c r="P20" i="36" s="1"/>
  <c r="L36" i="36"/>
  <c r="P36" i="36" s="1"/>
  <c r="L31" i="36"/>
  <c r="P31" i="36" s="1"/>
  <c r="L40" i="36"/>
  <c r="P40" i="36" s="1"/>
  <c r="L19" i="36"/>
  <c r="P19" i="36" s="1"/>
  <c r="L41" i="36"/>
  <c r="P41" i="36" s="1"/>
  <c r="L25" i="36"/>
  <c r="L39" i="36"/>
  <c r="P39" i="36" s="1"/>
  <c r="L18" i="36"/>
  <c r="P18" i="36" s="1"/>
  <c r="L35" i="35"/>
  <c r="L20" i="35"/>
  <c r="P20" i="35" s="1"/>
  <c r="L30" i="35"/>
  <c r="P30" i="35" s="1"/>
  <c r="P11" i="35"/>
  <c r="L33" i="35"/>
  <c r="P33" i="35" s="1"/>
  <c r="L31" i="35"/>
  <c r="P31" i="35" s="1"/>
  <c r="L24" i="35"/>
  <c r="P24" i="35" s="1"/>
  <c r="L27" i="35"/>
  <c r="P27" i="35" s="1"/>
  <c r="L23" i="35"/>
  <c r="P23" i="35" s="1"/>
  <c r="L39" i="35"/>
  <c r="P39" i="35" s="1"/>
  <c r="L22" i="35"/>
  <c r="L26" i="35"/>
  <c r="P26" i="35" s="1"/>
  <c r="K10" i="32"/>
  <c r="J10" i="32"/>
  <c r="L38" i="2"/>
  <c r="N38" i="2" s="1"/>
  <c r="P22" i="36"/>
  <c r="L34" i="35"/>
  <c r="P34" i="35" s="1"/>
  <c r="L36" i="31"/>
  <c r="L29" i="31" s="1"/>
  <c r="P29" i="31" s="1"/>
  <c r="K10" i="2"/>
  <c r="I10" i="2"/>
  <c r="J10" i="2"/>
  <c r="L21" i="33"/>
  <c r="N21" i="33" s="1"/>
  <c r="L38" i="35"/>
  <c r="P38" i="35" s="1"/>
  <c r="L17" i="31"/>
  <c r="P17" i="31" s="1"/>
  <c r="L35" i="36"/>
  <c r="P35" i="36" s="1"/>
  <c r="P23" i="31"/>
  <c r="L23" i="2"/>
  <c r="N23" i="2" s="1"/>
  <c r="L37" i="33"/>
  <c r="N37" i="33" s="1"/>
  <c r="L26" i="3"/>
  <c r="O26" i="3" s="1"/>
  <c r="L29" i="32"/>
  <c r="N29" i="32" s="1"/>
  <c r="L33" i="33"/>
  <c r="N33" i="33" s="1"/>
  <c r="P30" i="3" l="1"/>
  <c r="N10" i="39"/>
  <c r="N40" i="39" s="1"/>
  <c r="N41" i="39"/>
  <c r="N10" i="33"/>
  <c r="N40" i="33" s="1"/>
  <c r="N11" i="30"/>
  <c r="M2" i="31" s="1"/>
  <c r="O11" i="3"/>
  <c r="O40" i="3" s="1"/>
  <c r="E7" i="25" s="1"/>
  <c r="L11" i="2"/>
  <c r="N11" i="2" s="1"/>
  <c r="L10" i="2"/>
  <c r="N10" i="2" s="1"/>
  <c r="N41" i="33"/>
  <c r="M2" i="35" s="1"/>
  <c r="N10" i="30"/>
  <c r="N40" i="30" s="1"/>
  <c r="L10" i="32"/>
  <c r="N10" i="32" s="1"/>
  <c r="N40" i="32" s="1"/>
  <c r="E10" i="25" s="1"/>
  <c r="P11" i="31"/>
  <c r="P25" i="36"/>
  <c r="P21" i="31"/>
  <c r="P22" i="35"/>
  <c r="P45" i="31"/>
  <c r="E16" i="25" s="1"/>
  <c r="P47" i="36"/>
  <c r="P45" i="36"/>
  <c r="P36" i="31"/>
  <c r="L37" i="31"/>
  <c r="N42" i="39" l="1"/>
  <c r="M2" i="36" s="1"/>
  <c r="N42" i="33"/>
  <c r="E13" i="25" s="1"/>
  <c r="N40" i="2"/>
  <c r="E31" i="25" s="1"/>
  <c r="P37" i="31"/>
  <c r="P46" i="31"/>
  <c r="E19" i="25" s="1"/>
  <c r="P47" i="31"/>
  <c r="O2" i="35" s="1"/>
  <c r="O2" i="36" s="1"/>
  <c r="P10" i="35"/>
  <c r="P42" i="35" s="1"/>
  <c r="P45" i="35"/>
  <c r="P10" i="36"/>
  <c r="P43" i="36" s="1"/>
  <c r="P46" i="36"/>
  <c r="P44" i="35"/>
  <c r="P46" i="35"/>
  <c r="P43" i="31"/>
  <c r="N2" i="35" l="1"/>
  <c r="N2" i="36" s="1"/>
  <c r="E22" i="25"/>
  <c r="E25" i="25"/>
</calcChain>
</file>

<file path=xl/sharedStrings.xml><?xml version="1.0" encoding="utf-8"?>
<sst xmlns="http://schemas.openxmlformats.org/spreadsheetml/2006/main" count="699" uniqueCount="149">
  <si>
    <t>Funzionario referente:</t>
  </si>
  <si>
    <t>sonia evangelisti</t>
  </si>
  <si>
    <t xml:space="preserve">AMMINISTRAZIONE </t>
  </si>
  <si>
    <t>n. telefono</t>
  </si>
  <si>
    <t>AGID</t>
  </si>
  <si>
    <t xml:space="preserve">E-mail PEC: </t>
  </si>
  <si>
    <t>protocollo@pec.agid.gov.it</t>
  </si>
  <si>
    <t xml:space="preserve"> E-mail  </t>
  </si>
  <si>
    <t>evangelisti@agid.gov.it</t>
  </si>
  <si>
    <t>Valore finanziario dotazione organica al 31.12.2022 - D.P.C.M. 27.03.2017; artt. 61-62 e Tabelle A6, B6, C6 del C.C.N.L. comparto Funzioni Centrali 2019-2021</t>
  </si>
  <si>
    <t>Dirigenti</t>
  </si>
  <si>
    <t>FASCIA</t>
  </si>
  <si>
    <t>Tabellare + IIS per 12 mensilità CCNL 2016-2018</t>
  </si>
  <si>
    <t>IVC 2019-2021 per 12 mensilità</t>
  </si>
  <si>
    <t>IVC 2022-2024 per 12 mensilità</t>
  </si>
  <si>
    <t>Altra voce retributiva fondamentale</t>
  </si>
  <si>
    <t>Tredicesima</t>
  </si>
  <si>
    <t>Totale annuo pro-capite lordo dipendente</t>
  </si>
  <si>
    <t>Pensione 23,46%</t>
  </si>
  <si>
    <t xml:space="preserve"> Buonuscita 7,41%</t>
  </si>
  <si>
    <t>IRAP 8,5%</t>
  </si>
  <si>
    <t>Totale annuo pro-capite lordo stato</t>
  </si>
  <si>
    <t>Unità in dotazione organica</t>
  </si>
  <si>
    <t>VALORE FINANZIARIO DOTAZIONE ORGANICA</t>
  </si>
  <si>
    <t>PRIMA</t>
  </si>
  <si>
    <t>SECONDA</t>
  </si>
  <si>
    <t>AREE/CATEGORIE/QUALIFICHE</t>
  </si>
  <si>
    <r>
      <t xml:space="preserve">Fasce economiche </t>
    </r>
    <r>
      <rPr>
        <vertAlign val="superscript"/>
        <sz val="12"/>
        <color indexed="8"/>
        <rFont val="Times New Roman"/>
        <family val="1"/>
      </rPr>
      <t>(1)</t>
    </r>
  </si>
  <si>
    <t xml:space="preserve"> Tabellare + IIS per 12 mensilità CCNL 2019-2021</t>
  </si>
  <si>
    <r>
      <t>Altra voce retributiva fondamentale</t>
    </r>
    <r>
      <rPr>
        <vertAlign val="superscript"/>
        <sz val="12"/>
        <color indexed="8"/>
        <rFont val="Times New Roman"/>
        <family val="1"/>
      </rPr>
      <t xml:space="preserve"> (2)</t>
    </r>
  </si>
  <si>
    <t xml:space="preserve">Pensione 23,46% </t>
  </si>
  <si>
    <t>Area III Professional</t>
  </si>
  <si>
    <t>F9</t>
  </si>
  <si>
    <t>F8</t>
  </si>
  <si>
    <t>F7</t>
  </si>
  <si>
    <t>F6</t>
  </si>
  <si>
    <t>Area III Funzionari</t>
  </si>
  <si>
    <t>F5</t>
  </si>
  <si>
    <t>F4</t>
  </si>
  <si>
    <t>F3</t>
  </si>
  <si>
    <t>F2</t>
  </si>
  <si>
    <t>F1</t>
  </si>
  <si>
    <t>Area II Collaboratori</t>
  </si>
  <si>
    <r>
      <t xml:space="preserve">Area I </t>
    </r>
    <r>
      <rPr>
        <b/>
        <sz val="10"/>
        <color indexed="8"/>
        <rFont val="Times New Roman"/>
        <family val="1"/>
      </rPr>
      <t>Operatori</t>
    </r>
  </si>
  <si>
    <t>TOTALE</t>
  </si>
  <si>
    <t>(1)  devono essere valorizzate le fasce economiche previste dal provvedimento di determinazione della dotazione organica.</t>
  </si>
  <si>
    <t>Qualora la dotazione organica sia declinata solo per aree/categorie, andranno prese in considerazione le sole fasce economiche di accesso dall'esterno per ciascuna area/categoria.</t>
  </si>
  <si>
    <t>In  caso di più fasce economiche di accesso per ciascuna area/categoria, bisognerà procedere a calcolare le unità da attribuire a ciascuna fascia economica proporzionalmente al numero delle unità presenti in servizio nelle corrispondenti posizioni economiche di ingresso.</t>
  </si>
  <si>
    <t>In caso di presenti in servizio acquisti tramite procedura di mobilità con fascia economica superiore rispetto a quelle di accesso, andranno riportate in prorporzione anche nella dotazione organica di diritto, al fine di mantenere l'equilibrio finanziario</t>
  </si>
  <si>
    <t>(2)  prevista da legge speciale</t>
  </si>
  <si>
    <t>AMMINISTRAZIONE</t>
  </si>
  <si>
    <t>Spesa presenti in servizio + comandati in al 31 dicembre 2022 (NON SONO CONTEGGIATI I COMANDATI CAD)</t>
  </si>
  <si>
    <t xml:space="preserve">Totale unità presenti di ruolo </t>
  </si>
  <si>
    <t>Totale  comandati in</t>
  </si>
  <si>
    <t>TOTALE ONERE PRESENTI IN SERVIZIO</t>
  </si>
  <si>
    <r>
      <t xml:space="preserve">Totale unità presenti  in ruolo </t>
    </r>
    <r>
      <rPr>
        <b/>
        <vertAlign val="superscript"/>
        <sz val="12"/>
        <color indexed="8"/>
        <rFont val="Times New Roman"/>
        <family val="1"/>
      </rPr>
      <t>(2)</t>
    </r>
  </si>
  <si>
    <r>
      <t>Totale  comandati in</t>
    </r>
    <r>
      <rPr>
        <b/>
        <vertAlign val="superscript"/>
        <sz val="12"/>
        <color indexed="8"/>
        <rFont val="Times New Roman"/>
        <family val="1"/>
      </rPr>
      <t xml:space="preserve"> (3)</t>
    </r>
  </si>
  <si>
    <t xml:space="preserve">(1) la fascia economica da attribuire a ciascuna unità di personale è quella di accesso all'area/categoria di appartenenza, ovvero al netto delle progressioni economiche, che gravano sul fondo risorse decentrate. </t>
  </si>
  <si>
    <t>In caso di personale reclutato con procedura di mobilità da altra amministrazione, la fascia economica da considerare è quella in godimento al momento di ingresso nei ruoli.</t>
  </si>
  <si>
    <t>Nel caso dei comandati in, si considera la posizione economica in godimento al momento dell'ingresso in servizio presso l'amministrazione.</t>
  </si>
  <si>
    <t xml:space="preserve">(2) comprese unità in regime di part-time </t>
  </si>
  <si>
    <t>(3) o analogo istituto con oneri a carico dell'Amministrazione avendo cura di assicurare l'invarianza della spesa potenziale massima mediante corrispondenti riduzioni (in valore) di altre posizioni</t>
  </si>
  <si>
    <r>
      <t xml:space="preserve">Risorse finanziarie personale cessato  al 31 dicembre 2022 </t>
    </r>
    <r>
      <rPr>
        <b/>
        <vertAlign val="superscript"/>
        <sz val="12"/>
        <color indexed="8"/>
        <rFont val="Times New Roman"/>
        <family val="1"/>
      </rPr>
      <t>(1)</t>
    </r>
  </si>
  <si>
    <r>
      <t xml:space="preserve">FASCIA </t>
    </r>
    <r>
      <rPr>
        <vertAlign val="superscript"/>
        <sz val="12"/>
        <color indexed="8"/>
        <rFont val="Times New Roman"/>
        <family val="1"/>
      </rPr>
      <t>(1)</t>
    </r>
  </si>
  <si>
    <t>Totale unità cessate</t>
  </si>
  <si>
    <t>TOTALE RISORSE DA CESSAZIONI</t>
  </si>
  <si>
    <r>
      <t xml:space="preserve">Fasce economiche </t>
    </r>
    <r>
      <rPr>
        <vertAlign val="superscript"/>
        <sz val="12"/>
        <color indexed="8"/>
        <rFont val="Times New Roman"/>
        <family val="1"/>
      </rPr>
      <t>(3)</t>
    </r>
  </si>
  <si>
    <t>di cui</t>
  </si>
  <si>
    <t>TOTALE  Dir. I Fascia</t>
  </si>
  <si>
    <t>TOTALE Dir. II fascia+Aree</t>
  </si>
  <si>
    <t>TOTALE complessivo</t>
  </si>
  <si>
    <t xml:space="preserve">(1) Questa tabella deve essere compilata per ciascuno dei tre anni presi in considerazione nel piano triennale (cessazioni dell'anno precedente ) </t>
  </si>
  <si>
    <t>(2) Dal I° novembre 2021 le cessazioni per quiescenza dei dirigenti di prima fascia di ruolo devono essere valorizzate prendendo a riferimento il relativo trattamento economico fondamentale  (cfr. Circolare FP pubblicata il 7 febbraio 2022)</t>
  </si>
  <si>
    <t xml:space="preserve"> mentre per le cessazioni intervenute precedentemente a tale data deve essere preso a riferimento il trattamento di un dirigente di seconda fascia</t>
  </si>
  <si>
    <t>(3) i valori retributivi da utilizzare per il calcolo sono quelli della fascia economica  di accesso nell' area di appartenenza di ciascuna unità , al netto delle progressioni economiche, che gravano sul fondo</t>
  </si>
  <si>
    <r>
      <t xml:space="preserve">Risorse finanziarie personale cessato  al 31 dicembre 2023 </t>
    </r>
    <r>
      <rPr>
        <b/>
        <vertAlign val="superscript"/>
        <sz val="12"/>
        <color indexed="8"/>
        <rFont val="Times New Roman"/>
        <family val="1"/>
      </rPr>
      <t>(1)</t>
    </r>
  </si>
  <si>
    <t>evangElisti@agid.gov.it</t>
  </si>
  <si>
    <r>
      <t xml:space="preserve">Risorse finanziarie personale cessato  al 31 dicembre 2024 </t>
    </r>
    <r>
      <rPr>
        <b/>
        <vertAlign val="superscript"/>
        <sz val="12"/>
        <color indexed="8"/>
        <rFont val="Times New Roman"/>
        <family val="1"/>
      </rPr>
      <t>(1)</t>
    </r>
  </si>
  <si>
    <r>
      <t xml:space="preserve">Budget  anno 2023   </t>
    </r>
    <r>
      <rPr>
        <b/>
        <vertAlign val="superscript"/>
        <sz val="12"/>
        <color indexed="8"/>
        <rFont val="Times New Roman"/>
        <family val="1"/>
      </rPr>
      <t>(3)</t>
    </r>
  </si>
  <si>
    <r>
      <t xml:space="preserve">Budget pregresso DPCM 11 maggio 2023 </t>
    </r>
    <r>
      <rPr>
        <b/>
        <vertAlign val="superscript"/>
        <sz val="12"/>
        <rFont val="Times New Roman"/>
        <family val="1"/>
      </rPr>
      <t>(4)</t>
    </r>
  </si>
  <si>
    <r>
      <t xml:space="preserve">Risorse di cui alla legge n. 145/2018, art. 1, comma 301 </t>
    </r>
    <r>
      <rPr>
        <b/>
        <vertAlign val="superscript"/>
        <sz val="12"/>
        <color indexed="8"/>
        <rFont val="Times New Roman"/>
        <family val="1"/>
      </rPr>
      <t>(5)</t>
    </r>
  </si>
  <si>
    <r>
      <t xml:space="preserve">Assunzioni programmate anno 2023 </t>
    </r>
    <r>
      <rPr>
        <b/>
        <vertAlign val="superscript"/>
        <sz val="12"/>
        <color indexed="8"/>
        <rFont val="Times New Roman"/>
        <family val="1"/>
      </rPr>
      <t>(1)</t>
    </r>
  </si>
  <si>
    <r>
      <t xml:space="preserve">FASCIA </t>
    </r>
    <r>
      <rPr>
        <vertAlign val="superscript"/>
        <sz val="12"/>
        <color indexed="8"/>
        <rFont val="Times New Roman"/>
        <family val="1"/>
      </rPr>
      <t>(2)</t>
    </r>
  </si>
  <si>
    <t xml:space="preserve">Totale unità da assumere su budget 2023 </t>
  </si>
  <si>
    <t>Totale  unità da assumere su budget già autorizzato</t>
  </si>
  <si>
    <t>Totale  unità da assumere ex lege (L. 145/2018, art. 1, c. 301)</t>
  </si>
  <si>
    <t>TOTALE ONERI ASSUNZIONALI</t>
  </si>
  <si>
    <r>
      <t xml:space="preserve">Fasce economiche </t>
    </r>
    <r>
      <rPr>
        <vertAlign val="superscript"/>
        <sz val="12"/>
        <color indexed="8"/>
        <rFont val="Times New Roman"/>
        <family val="1"/>
      </rPr>
      <t>(2)</t>
    </r>
  </si>
  <si>
    <t>Totale unità da assumere sul budget 2023</t>
  </si>
  <si>
    <t>Totale  unità da assumere ex  lege</t>
  </si>
  <si>
    <t>F6 da PV</t>
  </si>
  <si>
    <t>F1 da PV</t>
  </si>
  <si>
    <t>DI CUI:</t>
  </si>
  <si>
    <t>TOTALE ONERI SU BUDGET 2023</t>
  </si>
  <si>
    <t>TOTALE ONERI SU BUDGET PREGRESSO</t>
  </si>
  <si>
    <t>TOTALE ONERI SU LEGGE</t>
  </si>
  <si>
    <t>(1) Questa tabella va compilata per ciascuno degli anni della programmazione</t>
  </si>
  <si>
    <t>(2) Le fasce economiche da prendere in considerazione sono quelle di accesso a ciascuna area/categoria, ad eccezione delle unità che si intende</t>
  </si>
  <si>
    <t>acquisire con procedura di mobilità, nel qual caso si considera la posizione economica in godimento al momento dell'ingresso nei ruoli dell'amministrazione</t>
  </si>
  <si>
    <t>(3) Indicare il budget di cui si chiede l'autorizzazione</t>
  </si>
  <si>
    <t>(4) Indicare il  budget già autorizzato ed il relativo  d.p.c.m., che si intende utilizzare per assunzioni nell'anno preso in considerazione</t>
  </si>
  <si>
    <t>(5) Indicare le risorse stanziate da norme di autorizzazione ad assunzioni in deroga, che si intende impiegare nell'anno preso in considerazione. Tuttavia, al fine di rendere le grandezze del piano omogenee, le risorse stanziate da leggi in deroga</t>
  </si>
  <si>
    <t>e gli oneri derivanti dalle unità che si intende assumere devono essere nettizzate delle componenti accessorie della retribuzione</t>
  </si>
  <si>
    <t>Budget  anno 2024 (3)</t>
  </si>
  <si>
    <r>
      <t>Budget pregresso anno………</t>
    </r>
    <r>
      <rPr>
        <b/>
        <vertAlign val="superscript"/>
        <sz val="12"/>
        <rFont val="Times New Roman"/>
        <family val="1"/>
      </rPr>
      <t>(4)</t>
    </r>
  </si>
  <si>
    <r>
      <t>Risorse di cui alla legge n. 145/2018, art. 1, comma 301</t>
    </r>
    <r>
      <rPr>
        <b/>
        <vertAlign val="superscript"/>
        <sz val="12"/>
        <color indexed="8"/>
        <rFont val="Times New Roman"/>
        <family val="1"/>
      </rPr>
      <t>(5)</t>
    </r>
  </si>
  <si>
    <r>
      <t>Risorse di cui alla legge……</t>
    </r>
    <r>
      <rPr>
        <b/>
        <vertAlign val="superscript"/>
        <sz val="12"/>
        <color indexed="8"/>
        <rFont val="Times New Roman"/>
        <family val="1"/>
      </rPr>
      <t>(5)</t>
    </r>
  </si>
  <si>
    <r>
      <t xml:space="preserve">Assunzioni programmate anno 2024 </t>
    </r>
    <r>
      <rPr>
        <b/>
        <vertAlign val="superscript"/>
        <sz val="12"/>
        <color indexed="8"/>
        <rFont val="Times New Roman"/>
        <family val="1"/>
      </rPr>
      <t>(1)</t>
    </r>
  </si>
  <si>
    <t>Totale unità da assumere su budget 2024</t>
  </si>
  <si>
    <t>Totale  unità da assumere ex  lege (L. 145/2018, art. 1, c. 301)</t>
  </si>
  <si>
    <t>Totale unità da assumere sul budget 2024</t>
  </si>
  <si>
    <r>
      <t>2</t>
    </r>
    <r>
      <rPr>
        <b/>
        <vertAlign val="superscript"/>
        <sz val="12"/>
        <color indexed="8"/>
        <rFont val="Times New Roman"/>
        <family val="1"/>
      </rPr>
      <t>(6)</t>
    </r>
  </si>
  <si>
    <t>TOTALE ONERI SU BUDGET 2024</t>
  </si>
  <si>
    <t>ho modificato la formula eliminando (M35*L35) perché diversamente avrebbe conteggiato il costo delle 2 unità di categorie protette</t>
  </si>
  <si>
    <t>TOTALE ONERI SU BUDGET PREGRESSO….</t>
  </si>
  <si>
    <t>(6) Categorie protette</t>
  </si>
  <si>
    <t>Budget  anno 2025 (3)</t>
  </si>
  <si>
    <t>evanglisti@agid.gov.it</t>
  </si>
  <si>
    <r>
      <t xml:space="preserve">Assunzioni programmate anno 2025 </t>
    </r>
    <r>
      <rPr>
        <b/>
        <vertAlign val="superscript"/>
        <sz val="12"/>
        <color indexed="8"/>
        <rFont val="Times New Roman"/>
        <family val="1"/>
      </rPr>
      <t>(1)</t>
    </r>
  </si>
  <si>
    <t>Totale unità da assumere sul budget 2025</t>
  </si>
  <si>
    <t>Risorse di cui alla legge n. 145/2018, art. 1, comma 301(5)</t>
  </si>
  <si>
    <t>TOTALE ONERI SU BUDGET 2025</t>
  </si>
  <si>
    <r>
      <t>Spesa comandati out al 31 dicembre 2022</t>
    </r>
    <r>
      <rPr>
        <b/>
        <vertAlign val="superscript"/>
        <sz val="12"/>
        <color indexed="8"/>
        <rFont val="Times New Roman"/>
        <family val="1"/>
      </rPr>
      <t xml:space="preserve"> (1)</t>
    </r>
  </si>
  <si>
    <r>
      <t xml:space="preserve">Totale  comandati out </t>
    </r>
    <r>
      <rPr>
        <b/>
        <vertAlign val="superscript"/>
        <sz val="12"/>
        <color indexed="8"/>
        <rFont val="Times New Roman"/>
        <family val="1"/>
      </rPr>
      <t>(1)</t>
    </r>
  </si>
  <si>
    <t>TOTALE ONERE COMANDATI OUT</t>
  </si>
  <si>
    <t>Fasce economiche*</t>
  </si>
  <si>
    <t>Totale  comandati out</t>
  </si>
  <si>
    <t>(1) o analogo istituto non retribuito dall'amministrazio edi appartenenza, come aspettativa, personale fuori ruolo etc.</t>
  </si>
  <si>
    <t>PRIMO ANNO DELLA PROGRAMMAZIONE</t>
  </si>
  <si>
    <t xml:space="preserve">                                                                                                                 E-mail  ______________________________________</t>
  </si>
  <si>
    <r>
      <t xml:space="preserve">VALORE FINANZIARIO PRESENTI IN SERVIZIO E COMANDATI IN </t>
    </r>
    <r>
      <rPr>
        <vertAlign val="superscript"/>
        <sz val="10"/>
        <rFont val="Arial"/>
        <family val="2"/>
      </rPr>
      <t>(1)</t>
    </r>
    <r>
      <rPr>
        <sz val="10"/>
        <rFont val="Arial"/>
        <family val="2"/>
      </rPr>
      <t xml:space="preserve"> AL 31.12.2022*</t>
    </r>
  </si>
  <si>
    <t>Ⴕ</t>
  </si>
  <si>
    <r>
      <t xml:space="preserve">VALORE FINANZIARIO COMANDATI OUT AL  31.12.2022 </t>
    </r>
    <r>
      <rPr>
        <vertAlign val="superscript"/>
        <sz val="10"/>
        <rFont val="Arial"/>
        <family val="2"/>
      </rPr>
      <t>(2)</t>
    </r>
  </si>
  <si>
    <t>+</t>
  </si>
  <si>
    <t>VALORE FINANZIARIO CESSAZIONI DAL SERVIZIO ANNO 2023</t>
  </si>
  <si>
    <t>-</t>
  </si>
  <si>
    <t>VALORE FINANZIARIO ASSUNZIONI SU TURN-OVER NEL 2023</t>
  </si>
  <si>
    <t>VALORE FINANZIARIO ASSUNZIONI SU BUDGET PREGRESSO</t>
  </si>
  <si>
    <t>VALORE FINANZIARIO ASSUNZIONI EX LEGE NEL 2023</t>
  </si>
  <si>
    <t>≤</t>
  </si>
  <si>
    <t>VALORE FINANZIARIO DOTAZIONE ORGANICA AL 31.12.2022</t>
  </si>
  <si>
    <t>(1) o analoghi istituti con oneri a carico dell'amministrazione</t>
  </si>
  <si>
    <t>(2) la spesa relativa al personale comandato presso altra amministrazione (out), così come quella del personale in aspettativa e fuori ruolo, pur non essendo sostenuta dall' ente di appartenenza,</t>
  </si>
  <si>
    <t xml:space="preserve"> deve essere accantonata per il caso di rientro in servizio delle predette unità </t>
  </si>
  <si>
    <t>Prima</t>
  </si>
  <si>
    <t>seconda</t>
  </si>
  <si>
    <t>PRIMA (2)</t>
  </si>
  <si>
    <t xml:space="preserve">PRIMA </t>
  </si>
  <si>
    <r>
      <t xml:space="preserve">PRIMA </t>
    </r>
    <r>
      <rPr>
        <vertAlign val="superscript"/>
        <sz val="12"/>
        <rFont val="Times New Roman"/>
        <family val="1"/>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</si>
</sst>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_-;\-* #,##0.00_-;_-* \-??_-;_-@_-"/>
    <numFmt numFmtId="166" formatCode="_-* #,##0.00\ _€_-;\-* #,##0.00\ _€_-;_-* \-??\ _€_-;_-@_-"/>
    <numFmt numFmtId="167" formatCode="#,##0.00\ &quot;€&quot;"/>
    <numFmt numFmtId="168" formatCode="_-* #,##0.00\ [$€-410]_-;\-* #,##0.00\ [$€-410]_-;_-* &quot;-&quot;??\ [$€-410]_-;_-@_-"/>
  </numFmts>
  <fonts count="34" x14ac:knownFonts="1">
    <font>
      <sz val="10"/>
      <name val="Arial"/>
      <family val="2"/>
    </font>
    <font>
      <b/>
      <sz val="10"/>
      <name val="Arial"/>
      <family val="2"/>
    </font>
    <font>
      <sz val="11"/>
      <color indexed="8"/>
      <name val="Calibri"/>
      <family val="2"/>
      <charset val="1"/>
    </font>
    <font>
      <sz val="8"/>
      <name val="Arial"/>
      <family val="2"/>
    </font>
    <font>
      <sz val="10"/>
      <name val="Arial"/>
      <family val="2"/>
    </font>
    <font>
      <sz val="12"/>
      <color indexed="8"/>
      <name val="Times New Roman"/>
      <family val="1"/>
    </font>
    <font>
      <b/>
      <sz val="12"/>
      <color indexed="8"/>
      <name val="Times New Roman"/>
      <family val="1"/>
    </font>
    <font>
      <sz val="18"/>
      <name val="Calibri"/>
      <family val="2"/>
    </font>
    <font>
      <sz val="14"/>
      <name val="Arial"/>
      <family val="2"/>
    </font>
    <font>
      <sz val="12"/>
      <color indexed="8"/>
      <name val="Calibri"/>
      <family val="2"/>
      <charset val="1"/>
    </font>
    <font>
      <b/>
      <sz val="12"/>
      <color indexed="8"/>
      <name val="Calibri"/>
      <family val="2"/>
    </font>
    <font>
      <sz val="12"/>
      <color indexed="8"/>
      <name val="Garamond"/>
      <family val="1"/>
      <charset val="1"/>
    </font>
    <font>
      <b/>
      <sz val="12"/>
      <name val="Arial"/>
      <family val="2"/>
    </font>
    <font>
      <sz val="12"/>
      <name val="Arial"/>
      <family val="2"/>
    </font>
    <font>
      <b/>
      <i/>
      <sz val="12"/>
      <color indexed="8"/>
      <name val="Times New Roman"/>
      <family val="1"/>
    </font>
    <font>
      <i/>
      <sz val="12"/>
      <color indexed="8"/>
      <name val="Times New Roman"/>
      <family val="1"/>
    </font>
    <font>
      <sz val="12"/>
      <name val="Times New Roman"/>
      <family val="1"/>
    </font>
    <font>
      <b/>
      <sz val="12"/>
      <name val="Times New Roman"/>
      <family val="1"/>
    </font>
    <font>
      <i/>
      <sz val="12"/>
      <name val="Times New Roman"/>
      <family val="1"/>
    </font>
    <font>
      <b/>
      <vertAlign val="superscript"/>
      <sz val="12"/>
      <color indexed="8"/>
      <name val="Times New Roman"/>
      <family val="1"/>
    </font>
    <font>
      <vertAlign val="superscript"/>
      <sz val="12"/>
      <color indexed="8"/>
      <name val="Times New Roman"/>
      <family val="1"/>
    </font>
    <font>
      <b/>
      <vertAlign val="superscript"/>
      <sz val="12"/>
      <name val="Times New Roman"/>
      <family val="1"/>
    </font>
    <font>
      <vertAlign val="superscript"/>
      <sz val="10"/>
      <name val="Arial"/>
      <family val="2"/>
    </font>
    <font>
      <b/>
      <sz val="12"/>
      <color indexed="8"/>
      <name val="Calibri"/>
      <family val="2"/>
      <charset val="1"/>
    </font>
    <font>
      <i/>
      <sz val="12"/>
      <color indexed="8"/>
      <name val="Calibri"/>
      <family val="2"/>
      <charset val="1"/>
    </font>
    <font>
      <b/>
      <sz val="10"/>
      <color indexed="8"/>
      <name val="Times New Roman"/>
      <family val="1"/>
    </font>
    <font>
      <b/>
      <i/>
      <sz val="14"/>
      <color indexed="8"/>
      <name val="Calibri"/>
      <family val="2"/>
    </font>
    <font>
      <sz val="12"/>
      <color indexed="8"/>
      <name val="Calibri"/>
      <family val="2"/>
    </font>
    <font>
      <u/>
      <sz val="10"/>
      <color theme="10"/>
      <name val="Arial"/>
      <family val="2"/>
    </font>
    <font>
      <b/>
      <sz val="11"/>
      <name val="Calibri"/>
      <family val="2"/>
    </font>
    <font>
      <b/>
      <sz val="12"/>
      <color rgb="FFFF0000"/>
      <name val="Times New Roman"/>
      <family val="1"/>
    </font>
    <font>
      <sz val="8"/>
      <color indexed="8"/>
      <name val="Calibri"/>
      <family val="2"/>
      <charset val="1"/>
    </font>
    <font>
      <vertAlign val="superscript"/>
      <sz val="12"/>
      <name val="Times New Roman"/>
      <family val="1"/>
    </font>
    <font>
      <sz val="11"/>
      <name val="Calibri"/>
      <family val="2"/>
    </font>
  </fonts>
  <fills count="18">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indexed="56"/>
        <bgColor indexed="62"/>
      </patternFill>
    </fill>
    <fill>
      <patternFill patternType="solid">
        <fgColor rgb="FFFFC0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2" tint="-9.9978637043366805E-2"/>
        <bgColor indexed="23"/>
      </patternFill>
    </fill>
    <fill>
      <patternFill patternType="solid">
        <fgColor rgb="FF92D050"/>
        <bgColor indexed="51"/>
      </patternFill>
    </fill>
    <fill>
      <patternFill patternType="solid">
        <fgColor theme="9"/>
        <bgColor indexed="64"/>
      </patternFill>
    </fill>
    <fill>
      <patternFill patternType="solid">
        <fgColor theme="9"/>
        <bgColor indexed="23"/>
      </patternFill>
    </fill>
    <fill>
      <patternFill patternType="solid">
        <fgColor rgb="FFFFFF00"/>
        <bgColor indexed="34"/>
      </patternFill>
    </fill>
    <fill>
      <patternFill patternType="solid">
        <fgColor theme="0"/>
        <bgColor indexed="64"/>
      </patternFill>
    </fill>
    <fill>
      <patternFill patternType="solid">
        <fgColor theme="0" tint="-0.249977111117893"/>
        <bgColor indexed="23"/>
      </patternFill>
    </fill>
    <fill>
      <patternFill patternType="solid">
        <fgColor theme="0" tint="-0.14999847407452621"/>
        <bgColor indexed="64"/>
      </patternFill>
    </fill>
    <fill>
      <patternFill patternType="solid">
        <fgColor theme="0" tint="-0.14999847407452621"/>
        <bgColor indexed="23"/>
      </patternFill>
    </fill>
    <fill>
      <patternFill patternType="solid">
        <fgColor theme="6" tint="0.39997558519241921"/>
        <bgColor indexed="64"/>
      </patternFill>
    </fill>
  </fills>
  <borders count="60">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8"/>
      </right>
      <top/>
      <bottom style="thin">
        <color indexed="64"/>
      </bottom>
      <diagonal/>
    </border>
    <border>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diagonal/>
    </border>
    <border>
      <left/>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s>
  <cellStyleXfs count="9">
    <xf numFmtId="0" fontId="0" fillId="0" borderId="0"/>
    <xf numFmtId="0" fontId="2" fillId="0" borderId="0"/>
    <xf numFmtId="165" fontId="4" fillId="0" borderId="0" applyFill="0" applyBorder="0" applyAlignment="0" applyProtection="0"/>
    <xf numFmtId="165" fontId="4" fillId="0" borderId="0" applyFill="0" applyBorder="0" applyAlignment="0" applyProtection="0"/>
    <xf numFmtId="165" fontId="4" fillId="0" borderId="0" applyFill="0" applyBorder="0" applyAlignment="0" applyProtection="0"/>
    <xf numFmtId="0" fontId="4" fillId="0" borderId="0"/>
    <xf numFmtId="0" fontId="4" fillId="0" borderId="0"/>
    <xf numFmtId="0" fontId="28" fillId="0" borderId="0" applyNumberFormat="0" applyFill="0" applyBorder="0" applyAlignment="0" applyProtection="0"/>
    <xf numFmtId="44" fontId="4" fillId="0" borderId="0" applyFont="0" applyFill="0" applyBorder="0" applyAlignment="0" applyProtection="0"/>
  </cellStyleXfs>
  <cellXfs count="36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165" fontId="5" fillId="0" borderId="7" xfId="2" applyFont="1" applyFill="1" applyBorder="1" applyAlignment="1" applyProtection="1">
      <alignment horizontal="center" vertical="center" wrapText="1"/>
    </xf>
    <xf numFmtId="165" fontId="5" fillId="0" borderId="8" xfId="2" applyFont="1" applyFill="1" applyBorder="1" applyAlignment="1" applyProtection="1">
      <alignment horizontal="center" vertical="center" wrapText="1"/>
    </xf>
    <xf numFmtId="165" fontId="5" fillId="2" borderId="7" xfId="1" applyNumberFormat="1" applyFont="1" applyFill="1" applyBorder="1" applyAlignment="1">
      <alignment horizontal="center" vertical="center" wrapText="1"/>
    </xf>
    <xf numFmtId="165" fontId="6" fillId="5" borderId="7" xfId="1" applyNumberFormat="1" applyFont="1" applyFill="1" applyBorder="1"/>
    <xf numFmtId="0" fontId="6" fillId="0" borderId="9" xfId="1" applyFont="1" applyBorder="1" applyAlignment="1">
      <alignment horizontal="center"/>
    </xf>
    <xf numFmtId="165" fontId="6" fillId="6" borderId="7" xfId="1" applyNumberFormat="1" applyFont="1" applyFill="1" applyBorder="1"/>
    <xf numFmtId="165" fontId="5" fillId="0" borderId="10" xfId="2" applyFont="1" applyFill="1" applyBorder="1" applyAlignment="1" applyProtection="1">
      <alignment horizontal="center" vertical="center" wrapText="1"/>
    </xf>
    <xf numFmtId="0" fontId="6" fillId="0" borderId="7" xfId="1" applyFont="1" applyBorder="1" applyAlignment="1">
      <alignment horizontal="center"/>
    </xf>
    <xf numFmtId="0" fontId="1" fillId="0" borderId="11" xfId="0" applyFont="1" applyBorder="1" applyAlignment="1">
      <alignment horizontal="center" wrapText="1"/>
    </xf>
    <xf numFmtId="0" fontId="1" fillId="0" borderId="0" xfId="0" applyFont="1" applyAlignment="1">
      <alignment horizontal="center" wrapText="1"/>
    </xf>
    <xf numFmtId="0" fontId="1" fillId="0" borderId="12" xfId="0" applyFont="1" applyBorder="1" applyAlignment="1">
      <alignment horizontal="center" wrapText="1"/>
    </xf>
    <xf numFmtId="0" fontId="7" fillId="0" borderId="13" xfId="0" applyFont="1" applyBorder="1" applyAlignment="1">
      <alignment horizontal="center"/>
    </xf>
    <xf numFmtId="0" fontId="5" fillId="0" borderId="8" xfId="1" applyFont="1" applyBorder="1" applyAlignment="1">
      <alignment vertical="center" wrapText="1"/>
    </xf>
    <xf numFmtId="0" fontId="5" fillId="0" borderId="14" xfId="1" applyFont="1" applyBorder="1" applyAlignment="1">
      <alignment vertical="center" wrapText="1"/>
    </xf>
    <xf numFmtId="0" fontId="5" fillId="0" borderId="10" xfId="1" applyFont="1" applyBorder="1" applyAlignment="1">
      <alignment vertical="center" wrapText="1"/>
    </xf>
    <xf numFmtId="0" fontId="6" fillId="6" borderId="15" xfId="1" applyFont="1" applyFill="1" applyBorder="1"/>
    <xf numFmtId="0" fontId="5" fillId="0" borderId="16" xfId="1" applyFont="1" applyBorder="1" applyAlignment="1">
      <alignment horizontal="center"/>
    </xf>
    <xf numFmtId="165" fontId="5" fillId="0" borderId="7" xfId="2" applyFont="1" applyFill="1" applyBorder="1" applyAlignment="1" applyProtection="1"/>
    <xf numFmtId="165" fontId="5" fillId="0" borderId="16" xfId="1" applyNumberFormat="1" applyFont="1" applyBorder="1" applyAlignment="1">
      <alignment horizontal="center"/>
    </xf>
    <xf numFmtId="165" fontId="5" fillId="0" borderId="16" xfId="2" applyFont="1" applyFill="1" applyBorder="1" applyAlignment="1" applyProtection="1"/>
    <xf numFmtId="165" fontId="6" fillId="5" borderId="17" xfId="1" applyNumberFormat="1" applyFont="1" applyFill="1" applyBorder="1"/>
    <xf numFmtId="0" fontId="5" fillId="6" borderId="15" xfId="1" applyFont="1" applyFill="1" applyBorder="1"/>
    <xf numFmtId="0" fontId="9" fillId="0" borderId="0" xfId="1" applyFont="1"/>
    <xf numFmtId="166" fontId="9" fillId="0" borderId="0" xfId="1" applyNumberFormat="1" applyFont="1"/>
    <xf numFmtId="0" fontId="5" fillId="0" borderId="7" xfId="1" applyFont="1" applyBorder="1" applyAlignment="1">
      <alignment horizontal="center"/>
    </xf>
    <xf numFmtId="0" fontId="10" fillId="0" borderId="0" xfId="1" applyFont="1"/>
    <xf numFmtId="0" fontId="11" fillId="0" borderId="0" xfId="1" applyFont="1"/>
    <xf numFmtId="165" fontId="9" fillId="0" borderId="0" xfId="1" applyNumberFormat="1" applyFont="1"/>
    <xf numFmtId="0" fontId="5" fillId="0" borderId="0" xfId="1" applyFont="1"/>
    <xf numFmtId="0" fontId="9" fillId="0" borderId="0" xfId="1" applyFont="1" applyAlignment="1">
      <alignment horizontal="center"/>
    </xf>
    <xf numFmtId="166" fontId="5" fillId="0" borderId="0" xfId="1" applyNumberFormat="1" applyFont="1"/>
    <xf numFmtId="0" fontId="5" fillId="3" borderId="0" xfId="1" applyFont="1" applyFill="1" applyAlignment="1">
      <alignment horizontal="left"/>
    </xf>
    <xf numFmtId="0" fontId="5" fillId="3" borderId="0" xfId="1" applyFont="1" applyFill="1"/>
    <xf numFmtId="0" fontId="6" fillId="4" borderId="7" xfId="1" applyFont="1" applyFill="1" applyBorder="1" applyAlignment="1">
      <alignment horizontal="center" vertical="center" textRotation="90" wrapText="1"/>
    </xf>
    <xf numFmtId="0" fontId="5" fillId="4" borderId="18" xfId="1" applyFont="1" applyFill="1" applyBorder="1" applyAlignment="1">
      <alignment horizontal="center" vertical="center" textRotation="90"/>
    </xf>
    <xf numFmtId="0" fontId="5" fillId="4" borderId="1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0" xfId="1" applyFont="1" applyFill="1"/>
    <xf numFmtId="165" fontId="6" fillId="5" borderId="15" xfId="1" applyNumberFormat="1" applyFont="1" applyFill="1" applyBorder="1"/>
    <xf numFmtId="0" fontId="6" fillId="0" borderId="15" xfId="1" applyFont="1" applyBorder="1" applyAlignment="1">
      <alignment horizontal="center"/>
    </xf>
    <xf numFmtId="0" fontId="6" fillId="0" borderId="19" xfId="1" applyFont="1" applyBorder="1" applyAlignment="1">
      <alignment horizontal="center"/>
    </xf>
    <xf numFmtId="0" fontId="6" fillId="0" borderId="20" xfId="1" applyFont="1" applyBorder="1" applyAlignment="1">
      <alignment horizontal="center"/>
    </xf>
    <xf numFmtId="0" fontId="6" fillId="0" borderId="21" xfId="1" applyFont="1" applyBorder="1" applyAlignment="1">
      <alignment horizontal="center"/>
    </xf>
    <xf numFmtId="0" fontId="6" fillId="0" borderId="22" xfId="1" applyFont="1" applyBorder="1" applyAlignment="1">
      <alignment horizontal="center"/>
    </xf>
    <xf numFmtId="0" fontId="6" fillId="0" borderId="23" xfId="1" applyFont="1" applyBorder="1" applyAlignment="1">
      <alignment horizontal="center"/>
    </xf>
    <xf numFmtId="0" fontId="5" fillId="0" borderId="0" xfId="1" applyFont="1" applyAlignment="1">
      <alignment horizontal="center"/>
    </xf>
    <xf numFmtId="0" fontId="6" fillId="0" borderId="0" xfId="1" applyFont="1" applyAlignment="1">
      <alignment horizontal="center"/>
    </xf>
    <xf numFmtId="165" fontId="5" fillId="0" borderId="0" xfId="1" applyNumberFormat="1" applyFont="1"/>
    <xf numFmtId="0" fontId="16" fillId="0" borderId="0" xfId="1" applyFont="1"/>
    <xf numFmtId="0" fontId="6" fillId="0" borderId="0" xfId="1" applyFont="1"/>
    <xf numFmtId="165" fontId="6" fillId="0" borderId="0" xfId="1" applyNumberFormat="1" applyFont="1"/>
    <xf numFmtId="165" fontId="5" fillId="7" borderId="16" xfId="1" applyNumberFormat="1" applyFont="1" applyFill="1" applyBorder="1"/>
    <xf numFmtId="165" fontId="5" fillId="7" borderId="7" xfId="1" applyNumberFormat="1" applyFont="1" applyFill="1" applyBorder="1"/>
    <xf numFmtId="165" fontId="5" fillId="8" borderId="7" xfId="1" applyNumberFormat="1" applyFont="1" applyFill="1" applyBorder="1"/>
    <xf numFmtId="165" fontId="5" fillId="8" borderId="7" xfId="2" applyFont="1" applyFill="1" applyBorder="1" applyAlignment="1" applyProtection="1"/>
    <xf numFmtId="0" fontId="5" fillId="8" borderId="7" xfId="1" applyFont="1" applyFill="1" applyBorder="1" applyAlignment="1">
      <alignment horizontal="center"/>
    </xf>
    <xf numFmtId="165" fontId="5" fillId="8" borderId="7" xfId="1" applyNumberFormat="1" applyFont="1" applyFill="1" applyBorder="1" applyAlignment="1">
      <alignment horizontal="center"/>
    </xf>
    <xf numFmtId="165" fontId="5" fillId="8" borderId="14" xfId="1" applyNumberFormat="1" applyFont="1" applyFill="1" applyBorder="1"/>
    <xf numFmtId="165" fontId="5" fillId="8" borderId="15" xfId="1" applyNumberFormat="1" applyFont="1" applyFill="1" applyBorder="1"/>
    <xf numFmtId="165" fontId="5" fillId="8" borderId="24" xfId="1" applyNumberFormat="1" applyFont="1" applyFill="1" applyBorder="1"/>
    <xf numFmtId="165" fontId="5" fillId="8" borderId="9" xfId="1" applyNumberFormat="1" applyFont="1" applyFill="1" applyBorder="1"/>
    <xf numFmtId="165" fontId="5" fillId="8" borderId="25" xfId="1" applyNumberFormat="1" applyFont="1" applyFill="1" applyBorder="1"/>
    <xf numFmtId="0" fontId="5" fillId="8" borderId="10" xfId="1" applyFont="1" applyFill="1" applyBorder="1" applyAlignment="1">
      <alignment horizontal="center"/>
    </xf>
    <xf numFmtId="0" fontId="5" fillId="7" borderId="15" xfId="1" applyFont="1" applyFill="1" applyBorder="1"/>
    <xf numFmtId="165" fontId="5" fillId="8" borderId="16" xfId="1" applyNumberFormat="1" applyFont="1" applyFill="1" applyBorder="1"/>
    <xf numFmtId="0" fontId="6" fillId="0" borderId="26" xfId="1" applyFont="1" applyBorder="1" applyAlignment="1">
      <alignment horizontal="center"/>
    </xf>
    <xf numFmtId="0" fontId="6" fillId="6" borderId="23" xfId="1" applyFont="1" applyFill="1" applyBorder="1"/>
    <xf numFmtId="0" fontId="6" fillId="0" borderId="27" xfId="1" applyFont="1" applyBorder="1" applyAlignment="1">
      <alignment wrapText="1"/>
    </xf>
    <xf numFmtId="0" fontId="17" fillId="0" borderId="28" xfId="0" applyFont="1" applyBorder="1" applyAlignment="1">
      <alignment wrapText="1"/>
    </xf>
    <xf numFmtId="0" fontId="6" fillId="0" borderId="28" xfId="1" applyFont="1" applyBorder="1" applyAlignment="1">
      <alignment wrapText="1"/>
    </xf>
    <xf numFmtId="0" fontId="6" fillId="0" borderId="29" xfId="1" applyFont="1" applyBorder="1" applyAlignment="1">
      <alignment wrapText="1"/>
    </xf>
    <xf numFmtId="0" fontId="5" fillId="0" borderId="32" xfId="1" applyFont="1" applyBorder="1" applyAlignment="1">
      <alignment wrapText="1"/>
    </xf>
    <xf numFmtId="0" fontId="5" fillId="0" borderId="0" xfId="1" applyFont="1" applyAlignment="1">
      <alignment horizontal="left"/>
    </xf>
    <xf numFmtId="0" fontId="6" fillId="0" borderId="25" xfId="1" applyFont="1" applyBorder="1" applyAlignment="1">
      <alignment horizontal="center"/>
    </xf>
    <xf numFmtId="0" fontId="6" fillId="0" borderId="14" xfId="1" applyFont="1" applyBorder="1" applyAlignment="1">
      <alignment horizontal="center"/>
    </xf>
    <xf numFmtId="0" fontId="5" fillId="4" borderId="33" xfId="1" applyFont="1" applyFill="1" applyBorder="1"/>
    <xf numFmtId="0" fontId="6" fillId="0" borderId="34" xfId="1" applyFont="1" applyBorder="1" applyAlignment="1">
      <alignment horizontal="center"/>
    </xf>
    <xf numFmtId="0" fontId="6" fillId="0" borderId="35" xfId="1" applyFont="1" applyBorder="1" applyAlignment="1">
      <alignment horizontal="center"/>
    </xf>
    <xf numFmtId="0" fontId="6" fillId="6" borderId="15" xfId="1" applyFont="1" applyFill="1" applyBorder="1" applyAlignment="1">
      <alignment horizontal="center"/>
    </xf>
    <xf numFmtId="0" fontId="6" fillId="0" borderId="36" xfId="1" applyFont="1" applyBorder="1" applyAlignment="1">
      <alignment horizontal="center"/>
    </xf>
    <xf numFmtId="0" fontId="6" fillId="0" borderId="37" xfId="1" applyFont="1" applyBorder="1" applyAlignment="1">
      <alignment horizontal="center"/>
    </xf>
    <xf numFmtId="165" fontId="6" fillId="9" borderId="15" xfId="1" applyNumberFormat="1" applyFont="1" applyFill="1" applyBorder="1" applyAlignment="1">
      <alignment horizontal="center"/>
    </xf>
    <xf numFmtId="0" fontId="13" fillId="0" borderId="0" xfId="0" applyFont="1"/>
    <xf numFmtId="0" fontId="18" fillId="0" borderId="0" xfId="0" applyFont="1"/>
    <xf numFmtId="0" fontId="16" fillId="0" borderId="0" xfId="0" applyFont="1"/>
    <xf numFmtId="0" fontId="12" fillId="6" borderId="15" xfId="0" applyFont="1" applyFill="1" applyBorder="1" applyAlignment="1">
      <alignment horizontal="center" wrapText="1"/>
    </xf>
    <xf numFmtId="0" fontId="24" fillId="0" borderId="5" xfId="1" applyFont="1" applyBorder="1"/>
    <xf numFmtId="0" fontId="24" fillId="0" borderId="2" xfId="1" applyFont="1" applyBorder="1"/>
    <xf numFmtId="0" fontId="9" fillId="3" borderId="0" xfId="1" applyFont="1" applyFill="1" applyAlignment="1">
      <alignment horizontal="left"/>
    </xf>
    <xf numFmtId="0" fontId="9" fillId="3" borderId="0" xfId="1" applyFont="1" applyFill="1" applyAlignment="1">
      <alignment horizontal="center"/>
    </xf>
    <xf numFmtId="0" fontId="9" fillId="3" borderId="0" xfId="1" applyFont="1" applyFill="1"/>
    <xf numFmtId="0" fontId="6" fillId="10" borderId="15" xfId="1" applyFont="1" applyFill="1" applyBorder="1"/>
    <xf numFmtId="165" fontId="5" fillId="11" borderId="0" xfId="1" applyNumberFormat="1" applyFont="1" applyFill="1"/>
    <xf numFmtId="165" fontId="5" fillId="11" borderId="15" xfId="1" applyNumberFormat="1" applyFont="1" applyFill="1" applyBorder="1"/>
    <xf numFmtId="165" fontId="5" fillId="10" borderId="15" xfId="1" applyNumberFormat="1" applyFont="1" applyFill="1" applyBorder="1"/>
    <xf numFmtId="0" fontId="9" fillId="10" borderId="15" xfId="1" applyFont="1" applyFill="1" applyBorder="1"/>
    <xf numFmtId="165" fontId="5" fillId="0" borderId="0" xfId="2" applyFont="1" applyFill="1" applyBorder="1" applyAlignment="1" applyProtection="1"/>
    <xf numFmtId="165" fontId="5" fillId="0" borderId="0" xfId="1" applyNumberFormat="1" applyFont="1" applyAlignment="1">
      <alignment horizontal="center"/>
    </xf>
    <xf numFmtId="165" fontId="14" fillId="0" borderId="0" xfId="1" applyNumberFormat="1" applyFont="1" applyAlignment="1">
      <alignment horizontal="right"/>
    </xf>
    <xf numFmtId="164" fontId="5" fillId="6" borderId="15" xfId="1" applyNumberFormat="1" applyFont="1" applyFill="1" applyBorder="1"/>
    <xf numFmtId="164" fontId="6" fillId="6" borderId="38" xfId="1" applyNumberFormat="1" applyFont="1" applyFill="1" applyBorder="1" applyAlignment="1">
      <alignment horizontal="center"/>
    </xf>
    <xf numFmtId="164" fontId="6" fillId="6" borderId="39" xfId="1" applyNumberFormat="1" applyFont="1" applyFill="1" applyBorder="1" applyAlignment="1">
      <alignment horizontal="center"/>
    </xf>
    <xf numFmtId="165" fontId="5" fillId="0" borderId="17" xfId="1" applyNumberFormat="1" applyFont="1" applyBorder="1" applyAlignment="1">
      <alignment horizontal="center"/>
    </xf>
    <xf numFmtId="4" fontId="16" fillId="0" borderId="15" xfId="0" applyNumberFormat="1" applyFont="1" applyBorder="1" applyAlignment="1">
      <alignment horizontal="center"/>
    </xf>
    <xf numFmtId="165" fontId="5" fillId="12" borderId="8" xfId="1" applyNumberFormat="1" applyFont="1" applyFill="1" applyBorder="1"/>
    <xf numFmtId="165" fontId="6" fillId="5" borderId="40" xfId="1" applyNumberFormat="1" applyFont="1" applyFill="1" applyBorder="1"/>
    <xf numFmtId="165" fontId="5" fillId="0" borderId="17" xfId="2" applyFont="1" applyFill="1" applyBorder="1" applyAlignment="1" applyProtection="1"/>
    <xf numFmtId="165" fontId="5" fillId="0" borderId="14" xfId="1" applyNumberFormat="1" applyFont="1" applyBorder="1" applyAlignment="1">
      <alignment horizontal="center"/>
    </xf>
    <xf numFmtId="165" fontId="5" fillId="8" borderId="14" xfId="1" applyNumberFormat="1" applyFont="1" applyFill="1" applyBorder="1" applyAlignment="1">
      <alignment horizontal="center"/>
    </xf>
    <xf numFmtId="165" fontId="5" fillId="8" borderId="15" xfId="2" applyFont="1" applyFill="1" applyBorder="1" applyAlignment="1" applyProtection="1"/>
    <xf numFmtId="165" fontId="5" fillId="8" borderId="10" xfId="2" applyFont="1" applyFill="1" applyBorder="1" applyAlignment="1" applyProtection="1"/>
    <xf numFmtId="165" fontId="5" fillId="8" borderId="14" xfId="2" applyFont="1" applyFill="1" applyBorder="1" applyAlignment="1" applyProtection="1"/>
    <xf numFmtId="165" fontId="5" fillId="8" borderId="15" xfId="1" applyNumberFormat="1" applyFont="1" applyFill="1" applyBorder="1" applyAlignment="1">
      <alignment horizontal="center"/>
    </xf>
    <xf numFmtId="0" fontId="6" fillId="8" borderId="41" xfId="1" applyFont="1" applyFill="1" applyBorder="1" applyAlignment="1">
      <alignment horizontal="center" vertical="center" textRotation="90"/>
    </xf>
    <xf numFmtId="0" fontId="6" fillId="8" borderId="15" xfId="1" applyFont="1" applyFill="1" applyBorder="1" applyAlignment="1">
      <alignment horizontal="center" vertical="center" textRotation="90"/>
    </xf>
    <xf numFmtId="0" fontId="5" fillId="13" borderId="0" xfId="1" applyFont="1" applyFill="1"/>
    <xf numFmtId="0" fontId="9" fillId="13" borderId="0" xfId="1" applyFont="1" applyFill="1"/>
    <xf numFmtId="165" fontId="5" fillId="14" borderId="7" xfId="1" applyNumberFormat="1" applyFont="1" applyFill="1" applyBorder="1"/>
    <xf numFmtId="164" fontId="6" fillId="9" borderId="15" xfId="1" applyNumberFormat="1" applyFont="1" applyFill="1" applyBorder="1"/>
    <xf numFmtId="165" fontId="5" fillId="8" borderId="42" xfId="2" applyFont="1" applyFill="1" applyBorder="1" applyAlignment="1" applyProtection="1"/>
    <xf numFmtId="165" fontId="5" fillId="8" borderId="40" xfId="1" applyNumberFormat="1" applyFont="1" applyFill="1" applyBorder="1"/>
    <xf numFmtId="165" fontId="5" fillId="8" borderId="17" xfId="1" applyNumberFormat="1" applyFont="1" applyFill="1" applyBorder="1"/>
    <xf numFmtId="165" fontId="6" fillId="8" borderId="7" xfId="2" applyFont="1" applyFill="1" applyBorder="1" applyAlignment="1" applyProtection="1">
      <alignment horizontal="center"/>
    </xf>
    <xf numFmtId="165" fontId="6" fillId="0" borderId="24" xfId="1" applyNumberFormat="1" applyFont="1" applyBorder="1" applyAlignment="1">
      <alignment horizontal="center"/>
    </xf>
    <xf numFmtId="0" fontId="6" fillId="0" borderId="43" xfId="1" applyFont="1" applyBorder="1" applyAlignment="1">
      <alignment horizontal="center"/>
    </xf>
    <xf numFmtId="165" fontId="6" fillId="8" borderId="7" xfId="1" applyNumberFormat="1" applyFont="1" applyFill="1" applyBorder="1" applyAlignment="1">
      <alignment horizontal="center"/>
    </xf>
    <xf numFmtId="0" fontId="6" fillId="0" borderId="44" xfId="1" applyFont="1" applyBorder="1" applyAlignment="1">
      <alignment horizontal="center"/>
    </xf>
    <xf numFmtId="0" fontId="6" fillId="0" borderId="45" xfId="1" applyFont="1" applyBorder="1" applyAlignment="1">
      <alignment horizontal="center"/>
    </xf>
    <xf numFmtId="0" fontId="6" fillId="0" borderId="18" xfId="1" applyFont="1" applyBorder="1" applyAlignment="1">
      <alignment horizontal="center"/>
    </xf>
    <xf numFmtId="165" fontId="6" fillId="5" borderId="42" xfId="1" applyNumberFormat="1" applyFont="1" applyFill="1" applyBorder="1"/>
    <xf numFmtId="0" fontId="6" fillId="8" borderId="23" xfId="1" applyFont="1" applyFill="1" applyBorder="1" applyAlignment="1">
      <alignment horizontal="center" vertical="center" textRotation="90"/>
    </xf>
    <xf numFmtId="165" fontId="5" fillId="0" borderId="10" xfId="2" applyFont="1" applyFill="1" applyBorder="1" applyAlignment="1" applyProtection="1"/>
    <xf numFmtId="0" fontId="5" fillId="0" borderId="15" xfId="1" applyFont="1" applyBorder="1" applyAlignment="1">
      <alignment horizontal="center"/>
    </xf>
    <xf numFmtId="0" fontId="5" fillId="0" borderId="18" xfId="1" applyFont="1" applyBorder="1" applyAlignment="1">
      <alignment horizontal="center"/>
    </xf>
    <xf numFmtId="0" fontId="5" fillId="8" borderId="15" xfId="1" applyFont="1" applyFill="1" applyBorder="1" applyAlignment="1">
      <alignment horizontal="center"/>
    </xf>
    <xf numFmtId="165" fontId="5" fillId="0" borderId="9" xfId="2" applyFont="1" applyFill="1" applyBorder="1" applyAlignment="1" applyProtection="1"/>
    <xf numFmtId="165" fontId="5" fillId="7" borderId="18" xfId="1" applyNumberFormat="1" applyFont="1" applyFill="1" applyBorder="1"/>
    <xf numFmtId="165" fontId="5" fillId="0" borderId="18" xfId="1" applyNumberFormat="1" applyFont="1" applyBorder="1" applyAlignment="1">
      <alignment horizontal="center"/>
    </xf>
    <xf numFmtId="165" fontId="5" fillId="0" borderId="40" xfId="1" applyNumberFormat="1" applyFont="1" applyBorder="1" applyAlignment="1">
      <alignment horizontal="center"/>
    </xf>
    <xf numFmtId="4" fontId="16" fillId="0" borderId="42" xfId="0" applyNumberFormat="1" applyFont="1" applyBorder="1" applyAlignment="1">
      <alignment horizontal="center"/>
    </xf>
    <xf numFmtId="165" fontId="5" fillId="12" borderId="41" xfId="1" applyNumberFormat="1" applyFont="1" applyFill="1" applyBorder="1"/>
    <xf numFmtId="165" fontId="5" fillId="0" borderId="40" xfId="2" applyFont="1" applyFill="1" applyBorder="1" applyAlignment="1" applyProtection="1"/>
    <xf numFmtId="0" fontId="6" fillId="0" borderId="46" xfId="1" applyFont="1" applyBorder="1" applyAlignment="1">
      <alignment horizontal="center"/>
    </xf>
    <xf numFmtId="0" fontId="6" fillId="8" borderId="39" xfId="1" applyFont="1" applyFill="1" applyBorder="1" applyAlignment="1">
      <alignment horizontal="center" vertical="center" textRotation="90"/>
    </xf>
    <xf numFmtId="0" fontId="5" fillId="8" borderId="8" xfId="1" applyFont="1" applyFill="1" applyBorder="1" applyAlignment="1">
      <alignment horizontal="center"/>
    </xf>
    <xf numFmtId="165" fontId="5" fillId="8" borderId="16" xfId="2" applyFont="1" applyFill="1" applyBorder="1" applyAlignment="1" applyProtection="1"/>
    <xf numFmtId="165" fontId="5" fillId="8" borderId="17" xfId="1" applyNumberFormat="1" applyFont="1" applyFill="1" applyBorder="1" applyAlignment="1">
      <alignment horizontal="center"/>
    </xf>
    <xf numFmtId="165" fontId="5" fillId="8" borderId="39" xfId="1" applyNumberFormat="1" applyFont="1" applyFill="1" applyBorder="1" applyAlignment="1">
      <alignment horizontal="center"/>
    </xf>
    <xf numFmtId="165" fontId="5" fillId="8" borderId="8" xfId="2" applyFont="1" applyFill="1" applyBorder="1" applyAlignment="1" applyProtection="1"/>
    <xf numFmtId="165" fontId="5" fillId="8" borderId="39" xfId="1" applyNumberFormat="1" applyFont="1" applyFill="1" applyBorder="1"/>
    <xf numFmtId="165" fontId="5" fillId="0" borderId="15" xfId="2" applyFont="1" applyFill="1" applyBorder="1" applyAlignment="1" applyProtection="1"/>
    <xf numFmtId="165" fontId="5" fillId="7" borderId="15" xfId="1" applyNumberFormat="1" applyFont="1" applyFill="1" applyBorder="1"/>
    <xf numFmtId="165" fontId="5" fillId="0" borderId="15" xfId="1" applyNumberFormat="1" applyFont="1" applyBorder="1" applyAlignment="1">
      <alignment horizontal="center"/>
    </xf>
    <xf numFmtId="165" fontId="5" fillId="12" borderId="15" xfId="1" applyNumberFormat="1" applyFont="1" applyFill="1" applyBorder="1"/>
    <xf numFmtId="0" fontId="27" fillId="0" borderId="0" xfId="1" applyFont="1"/>
    <xf numFmtId="44" fontId="12" fillId="6" borderId="15" xfId="0" applyNumberFormat="1" applyFont="1" applyFill="1" applyBorder="1" applyAlignment="1">
      <alignment horizontal="center" wrapText="1"/>
    </xf>
    <xf numFmtId="0" fontId="17" fillId="0" borderId="9" xfId="1" applyFont="1" applyBorder="1" applyAlignment="1">
      <alignment horizontal="center"/>
    </xf>
    <xf numFmtId="165" fontId="5" fillId="15" borderId="16" xfId="2" applyFont="1" applyFill="1" applyBorder="1" applyAlignment="1" applyProtection="1"/>
    <xf numFmtId="165" fontId="5" fillId="16" borderId="14" xfId="1" applyNumberFormat="1" applyFont="1" applyFill="1" applyBorder="1"/>
    <xf numFmtId="0" fontId="6" fillId="9" borderId="15" xfId="1" applyFont="1" applyFill="1" applyBorder="1" applyAlignment="1">
      <alignment horizontal="center"/>
    </xf>
    <xf numFmtId="165" fontId="5" fillId="17" borderId="16" xfId="2" applyFont="1" applyFill="1" applyBorder="1" applyAlignment="1" applyProtection="1"/>
    <xf numFmtId="164" fontId="6" fillId="6" borderId="15" xfId="1" applyNumberFormat="1" applyFont="1" applyFill="1" applyBorder="1"/>
    <xf numFmtId="165" fontId="6" fillId="6" borderId="15" xfId="1" applyNumberFormat="1" applyFont="1" applyFill="1" applyBorder="1"/>
    <xf numFmtId="0" fontId="5" fillId="10" borderId="15" xfId="1" applyFont="1" applyFill="1" applyBorder="1"/>
    <xf numFmtId="167" fontId="6" fillId="10" borderId="15" xfId="1" applyNumberFormat="1" applyFont="1" applyFill="1" applyBorder="1"/>
    <xf numFmtId="0" fontId="18" fillId="0" borderId="0" xfId="0" applyFont="1" applyAlignment="1">
      <alignment horizontal="center"/>
    </xf>
    <xf numFmtId="0" fontId="6" fillId="0" borderId="53" xfId="1" applyFont="1" applyBorder="1" applyAlignment="1">
      <alignment wrapText="1"/>
    </xf>
    <xf numFmtId="0" fontId="5" fillId="0" borderId="54" xfId="1" applyFont="1" applyBorder="1" applyAlignment="1">
      <alignment wrapText="1"/>
    </xf>
    <xf numFmtId="44" fontId="6" fillId="0" borderId="31" xfId="1" applyNumberFormat="1" applyFont="1" applyBorder="1" applyAlignment="1">
      <alignment wrapText="1"/>
    </xf>
    <xf numFmtId="0" fontId="12" fillId="0" borderId="15" xfId="5" applyFont="1" applyBorder="1" applyAlignment="1">
      <alignment horizontal="left" vertical="center" wrapText="1"/>
    </xf>
    <xf numFmtId="0" fontId="9" fillId="0" borderId="15" xfId="1" applyFont="1" applyBorder="1" applyAlignment="1">
      <alignment horizontal="center"/>
    </xf>
    <xf numFmtId="0" fontId="12" fillId="0" borderId="15" xfId="5" applyFont="1" applyBorder="1" applyAlignment="1">
      <alignment vertical="top" wrapText="1"/>
    </xf>
    <xf numFmtId="0" fontId="12" fillId="0" borderId="15" xfId="5" applyFont="1" applyBorder="1" applyAlignment="1">
      <alignment vertical="center" wrapText="1"/>
    </xf>
    <xf numFmtId="0" fontId="12" fillId="0" borderId="53" xfId="5" applyFont="1" applyBorder="1" applyAlignment="1">
      <alignment horizontal="left" vertical="center" wrapText="1"/>
    </xf>
    <xf numFmtId="0" fontId="9" fillId="0" borderId="56" xfId="1" applyFont="1" applyBorder="1" applyAlignment="1">
      <alignment horizontal="center"/>
    </xf>
    <xf numFmtId="0" fontId="9" fillId="0" borderId="54" xfId="1" applyFont="1" applyBorder="1" applyAlignment="1">
      <alignment horizontal="center"/>
    </xf>
    <xf numFmtId="0" fontId="12" fillId="0" borderId="30" xfId="5" applyFont="1" applyBorder="1" applyAlignment="1">
      <alignment vertical="top" wrapText="1"/>
    </xf>
    <xf numFmtId="0" fontId="12" fillId="0" borderId="31" xfId="5" applyFont="1" applyBorder="1" applyAlignment="1">
      <alignment vertical="top" wrapText="1"/>
    </xf>
    <xf numFmtId="0" fontId="12" fillId="0" borderId="32" xfId="5" applyFont="1" applyBorder="1" applyAlignment="1">
      <alignment vertical="top" wrapText="1"/>
    </xf>
    <xf numFmtId="0" fontId="9" fillId="0" borderId="1" xfId="1" applyFont="1" applyBorder="1"/>
    <xf numFmtId="0" fontId="12" fillId="0" borderId="52" xfId="5" applyFont="1" applyBorder="1" applyAlignment="1">
      <alignment vertical="center" wrapText="1"/>
    </xf>
    <xf numFmtId="0" fontId="12" fillId="0" borderId="54" xfId="5" applyFont="1" applyBorder="1" applyAlignment="1">
      <alignment horizontal="left" vertical="center" wrapText="1"/>
    </xf>
    <xf numFmtId="0" fontId="28" fillId="0" borderId="32" xfId="7" applyBorder="1" applyAlignment="1">
      <alignment vertical="top" wrapText="1"/>
    </xf>
    <xf numFmtId="0" fontId="28" fillId="0" borderId="15" xfId="7" applyBorder="1" applyAlignment="1">
      <alignment vertical="top" wrapText="1"/>
    </xf>
    <xf numFmtId="4" fontId="29" fillId="0" borderId="0" xfId="0" applyNumberFormat="1" applyFont="1"/>
    <xf numFmtId="44" fontId="6" fillId="0" borderId="30" xfId="1" applyNumberFormat="1" applyFont="1" applyBorder="1" applyAlignment="1">
      <alignment wrapText="1"/>
    </xf>
    <xf numFmtId="44" fontId="6" fillId="0" borderId="32" xfId="1" applyNumberFormat="1" applyFont="1" applyBorder="1" applyAlignment="1">
      <alignment wrapText="1"/>
    </xf>
    <xf numFmtId="44" fontId="6" fillId="8" borderId="14" xfId="8" applyFont="1" applyFill="1" applyBorder="1"/>
    <xf numFmtId="44" fontId="6" fillId="0" borderId="52" xfId="8" applyFont="1" applyBorder="1" applyAlignment="1">
      <alignment wrapText="1"/>
    </xf>
    <xf numFmtId="44" fontId="6" fillId="0" borderId="15" xfId="8" applyFont="1" applyBorder="1" applyAlignment="1">
      <alignment wrapText="1"/>
    </xf>
    <xf numFmtId="44" fontId="6" fillId="0" borderId="39" xfId="8" applyFont="1" applyBorder="1" applyAlignment="1">
      <alignment wrapText="1"/>
    </xf>
    <xf numFmtId="0" fontId="6" fillId="0" borderId="47" xfId="1" applyFont="1" applyBorder="1" applyAlignment="1">
      <alignment wrapText="1"/>
    </xf>
    <xf numFmtId="0" fontId="6" fillId="0" borderId="0" xfId="1" applyFont="1" applyAlignment="1">
      <alignment wrapText="1"/>
    </xf>
    <xf numFmtId="44" fontId="6" fillId="0" borderId="0" xfId="1" applyNumberFormat="1" applyFont="1" applyAlignment="1">
      <alignment wrapText="1"/>
    </xf>
    <xf numFmtId="164" fontId="12" fillId="6" borderId="15" xfId="0" applyNumberFormat="1" applyFont="1" applyFill="1" applyBorder="1" applyAlignment="1">
      <alignment horizontal="center" wrapText="1"/>
    </xf>
    <xf numFmtId="0" fontId="9" fillId="0" borderId="0" xfId="1" applyFont="1" applyAlignment="1">
      <alignment wrapText="1"/>
    </xf>
    <xf numFmtId="0" fontId="30" fillId="0" borderId="34" xfId="1" applyFont="1" applyBorder="1" applyAlignment="1">
      <alignment horizontal="center"/>
    </xf>
    <xf numFmtId="0" fontId="30" fillId="0" borderId="7" xfId="1" applyFont="1" applyBorder="1" applyAlignment="1">
      <alignment horizontal="center"/>
    </xf>
    <xf numFmtId="0" fontId="6" fillId="0" borderId="9" xfId="1" applyFont="1" applyBorder="1" applyAlignment="1">
      <alignment vertical="center" textRotation="90" wrapText="1"/>
    </xf>
    <xf numFmtId="0" fontId="6" fillId="0" borderId="18" xfId="1" applyFont="1" applyBorder="1" applyAlignment="1">
      <alignment vertical="center" textRotation="90" wrapText="1"/>
    </xf>
    <xf numFmtId="0" fontId="6" fillId="0" borderId="16" xfId="1" applyFont="1" applyBorder="1" applyAlignment="1">
      <alignment vertical="center" textRotation="90" wrapText="1"/>
    </xf>
    <xf numFmtId="0" fontId="30" fillId="0" borderId="36" xfId="1" applyFont="1" applyBorder="1" applyAlignment="1">
      <alignment horizontal="center"/>
    </xf>
    <xf numFmtId="0" fontId="30" fillId="0" borderId="15" xfId="1" applyFont="1" applyBorder="1" applyAlignment="1">
      <alignment horizontal="center"/>
    </xf>
    <xf numFmtId="0" fontId="6" fillId="0" borderId="0" xfId="1" applyFont="1" applyAlignment="1">
      <alignment vertical="center" textRotation="90" wrapText="1"/>
    </xf>
    <xf numFmtId="0" fontId="5" fillId="0" borderId="41" xfId="1" applyFont="1" applyBorder="1" applyAlignment="1">
      <alignment horizontal="center"/>
    </xf>
    <xf numFmtId="0" fontId="6" fillId="0" borderId="40" xfId="1" applyFont="1" applyBorder="1" applyAlignment="1">
      <alignment horizontal="center"/>
    </xf>
    <xf numFmtId="0" fontId="30" fillId="0" borderId="40" xfId="1" applyFont="1" applyBorder="1" applyAlignment="1">
      <alignment horizontal="center"/>
    </xf>
    <xf numFmtId="0" fontId="30" fillId="0" borderId="14" xfId="1" applyFont="1" applyBorder="1" applyAlignment="1">
      <alignment horizontal="center"/>
    </xf>
    <xf numFmtId="0" fontId="5" fillId="0" borderId="8" xfId="1" applyFont="1" applyBorder="1" applyAlignment="1">
      <alignment horizontal="center"/>
    </xf>
    <xf numFmtId="165" fontId="5" fillId="13" borderId="7" xfId="2" applyFont="1" applyFill="1" applyBorder="1" applyAlignment="1" applyProtection="1"/>
    <xf numFmtId="165" fontId="12" fillId="6" borderId="15" xfId="2" applyFont="1" applyFill="1" applyBorder="1" applyAlignment="1">
      <alignment horizontal="center" wrapText="1"/>
    </xf>
    <xf numFmtId="168" fontId="12" fillId="6" borderId="15" xfId="0" applyNumberFormat="1" applyFont="1" applyFill="1" applyBorder="1" applyAlignment="1">
      <alignment horizontal="center" wrapText="1"/>
    </xf>
    <xf numFmtId="168" fontId="1" fillId="6" borderId="15" xfId="2" applyNumberFormat="1" applyFont="1" applyFill="1" applyBorder="1" applyAlignment="1">
      <alignment horizontal="center" wrapText="1"/>
    </xf>
    <xf numFmtId="0" fontId="30" fillId="0" borderId="35" xfId="1" applyFont="1" applyBorder="1" applyAlignment="1">
      <alignment horizontal="center"/>
    </xf>
    <xf numFmtId="0" fontId="17" fillId="0" borderId="7" xfId="1" applyFont="1" applyBorder="1" applyAlignment="1">
      <alignment horizontal="center"/>
    </xf>
    <xf numFmtId="43" fontId="9" fillId="0" borderId="0" xfId="1" applyNumberFormat="1" applyFont="1"/>
    <xf numFmtId="43" fontId="12" fillId="6" borderId="15" xfId="0" applyNumberFormat="1" applyFont="1" applyFill="1" applyBorder="1" applyAlignment="1">
      <alignment horizontal="right" wrapText="1"/>
    </xf>
    <xf numFmtId="2" fontId="13" fillId="0" borderId="0" xfId="0" applyNumberFormat="1" applyFont="1"/>
    <xf numFmtId="44" fontId="9" fillId="0" borderId="0" xfId="1" applyNumberFormat="1" applyFont="1"/>
    <xf numFmtId="44" fontId="31" fillId="0" borderId="0" xfId="1" applyNumberFormat="1" applyFont="1"/>
    <xf numFmtId="0" fontId="30" fillId="0" borderId="37" xfId="1" applyFont="1" applyBorder="1" applyAlignment="1">
      <alignment horizontal="center"/>
    </xf>
    <xf numFmtId="165" fontId="30" fillId="5" borderId="7" xfId="1" applyNumberFormat="1" applyFont="1" applyFill="1" applyBorder="1"/>
    <xf numFmtId="165" fontId="16" fillId="0" borderId="7" xfId="2" applyFont="1" applyFill="1" applyBorder="1" applyAlignment="1" applyProtection="1"/>
    <xf numFmtId="0" fontId="16" fillId="0" borderId="8" xfId="1" applyFont="1" applyBorder="1" applyAlignment="1">
      <alignment vertical="center" wrapText="1"/>
    </xf>
    <xf numFmtId="165" fontId="16" fillId="0" borderId="8" xfId="2" applyFont="1" applyFill="1" applyBorder="1" applyAlignment="1" applyProtection="1">
      <alignment horizontal="center" vertical="center" wrapText="1"/>
    </xf>
    <xf numFmtId="165" fontId="16" fillId="0" borderId="7" xfId="2" applyFont="1" applyFill="1" applyBorder="1" applyAlignment="1" applyProtection="1">
      <alignment horizontal="center" vertical="center" wrapText="1"/>
    </xf>
    <xf numFmtId="165" fontId="16" fillId="2" borderId="7" xfId="1" applyNumberFormat="1" applyFont="1" applyFill="1" applyBorder="1" applyAlignment="1">
      <alignment horizontal="center" vertical="center" wrapText="1"/>
    </xf>
    <xf numFmtId="0" fontId="16" fillId="0" borderId="10" xfId="1" applyFont="1" applyBorder="1" applyAlignment="1">
      <alignment vertical="center" wrapText="1"/>
    </xf>
    <xf numFmtId="165" fontId="16" fillId="0" borderId="10" xfId="2" applyFont="1" applyFill="1" applyBorder="1" applyAlignment="1" applyProtection="1">
      <alignment horizontal="center" vertical="center" wrapText="1"/>
    </xf>
    <xf numFmtId="0" fontId="16" fillId="0" borderId="14" xfId="1" applyFont="1" applyBorder="1" applyAlignment="1">
      <alignment vertical="center" wrapText="1"/>
    </xf>
    <xf numFmtId="165" fontId="17" fillId="5" borderId="7" xfId="1" applyNumberFormat="1" applyFont="1" applyFill="1" applyBorder="1"/>
    <xf numFmtId="2" fontId="5" fillId="6" borderId="15" xfId="1" applyNumberFormat="1" applyFont="1" applyFill="1" applyBorder="1"/>
    <xf numFmtId="4" fontId="33" fillId="0" borderId="0" xfId="0" applyNumberFormat="1" applyFont="1"/>
    <xf numFmtId="4" fontId="9" fillId="0" borderId="0" xfId="1" applyNumberFormat="1" applyFont="1"/>
    <xf numFmtId="0" fontId="5" fillId="0" borderId="9"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6" xfId="1" applyFont="1" applyBorder="1" applyAlignment="1">
      <alignment horizontal="center" vertical="center" wrapText="1"/>
    </xf>
    <xf numFmtId="0" fontId="5" fillId="7" borderId="9" xfId="1" applyFont="1" applyFill="1" applyBorder="1" applyAlignment="1">
      <alignment horizontal="center" vertical="center" wrapText="1"/>
    </xf>
    <xf numFmtId="0" fontId="5" fillId="7" borderId="18" xfId="1" applyFont="1" applyFill="1" applyBorder="1" applyAlignment="1">
      <alignment horizontal="center" vertical="center" wrapText="1"/>
    </xf>
    <xf numFmtId="0" fontId="5" fillId="7" borderId="16" xfId="1" applyFont="1" applyFill="1" applyBorder="1" applyAlignment="1">
      <alignment horizontal="center" vertical="center" wrapText="1"/>
    </xf>
    <xf numFmtId="0" fontId="23" fillId="0" borderId="0" xfId="1" applyFont="1" applyAlignment="1">
      <alignment horizontal="right"/>
    </xf>
    <xf numFmtId="0" fontId="26" fillId="0" borderId="11" xfId="1" applyFont="1" applyBorder="1" applyAlignment="1">
      <alignment horizontal="center"/>
    </xf>
    <xf numFmtId="0" fontId="26" fillId="0" borderId="0" xfId="1" applyFont="1" applyAlignment="1">
      <alignment horizontal="center"/>
    </xf>
    <xf numFmtId="0" fontId="26" fillId="0" borderId="12" xfId="1" applyFont="1" applyBorder="1" applyAlignment="1">
      <alignment horizontal="center"/>
    </xf>
    <xf numFmtId="0" fontId="24" fillId="0" borderId="6" xfId="1" applyFont="1" applyBorder="1" applyAlignment="1">
      <alignment horizontal="center"/>
    </xf>
    <xf numFmtId="0" fontId="6" fillId="0" borderId="7" xfId="1" applyFont="1" applyBorder="1" applyAlignment="1">
      <alignment horizontal="center"/>
    </xf>
    <xf numFmtId="0" fontId="6" fillId="5" borderId="9" xfId="1" applyFont="1" applyFill="1" applyBorder="1" applyAlignment="1">
      <alignment horizontal="center" vertical="center" wrapText="1"/>
    </xf>
    <xf numFmtId="0" fontId="6" fillId="5" borderId="18"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6" fillId="6" borderId="9" xfId="1" applyFont="1" applyFill="1" applyBorder="1" applyAlignment="1">
      <alignment horizontal="center" vertical="center" wrapText="1"/>
    </xf>
    <xf numFmtId="0" fontId="6" fillId="6" borderId="18" xfId="1" applyFont="1" applyFill="1" applyBorder="1" applyAlignment="1">
      <alignment horizontal="center" vertical="center" wrapText="1"/>
    </xf>
    <xf numFmtId="0" fontId="6" fillId="6" borderId="16" xfId="1" applyFont="1" applyFill="1" applyBorder="1" applyAlignment="1">
      <alignment horizontal="center" vertical="center" wrapText="1"/>
    </xf>
    <xf numFmtId="0" fontId="14" fillId="0" borderId="3" xfId="1" applyFont="1" applyBorder="1" applyAlignment="1">
      <alignment horizontal="center"/>
    </xf>
    <xf numFmtId="0" fontId="14" fillId="0" borderId="4" xfId="1" applyFont="1" applyBorder="1" applyAlignment="1">
      <alignment horizontal="center"/>
    </xf>
    <xf numFmtId="0" fontId="14" fillId="0" borderId="1" xfId="1" applyFont="1" applyBorder="1" applyAlignment="1">
      <alignment horizontal="center"/>
    </xf>
    <xf numFmtId="0" fontId="6" fillId="0" borderId="9"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6" xfId="1" applyFont="1" applyBorder="1" applyAlignment="1">
      <alignment horizontal="center" vertical="center" wrapText="1"/>
    </xf>
    <xf numFmtId="0" fontId="6" fillId="12" borderId="9" xfId="1" applyFont="1" applyFill="1" applyBorder="1" applyAlignment="1">
      <alignment horizontal="center" vertical="center" wrapText="1"/>
    </xf>
    <xf numFmtId="0" fontId="6" fillId="12" borderId="18" xfId="1" applyFont="1" applyFill="1" applyBorder="1" applyAlignment="1">
      <alignment horizontal="center" vertical="center" wrapText="1"/>
    </xf>
    <xf numFmtId="0" fontId="6" fillId="12" borderId="16" xfId="1" applyFont="1" applyFill="1" applyBorder="1" applyAlignment="1">
      <alignment horizontal="center" vertical="center" wrapText="1"/>
    </xf>
    <xf numFmtId="0" fontId="6" fillId="0" borderId="9" xfId="1" applyFont="1" applyBorder="1" applyAlignment="1">
      <alignment horizontal="center" vertical="center" textRotation="90" wrapText="1"/>
    </xf>
    <xf numFmtId="0" fontId="6" fillId="0" borderId="18" xfId="1" applyFont="1" applyBorder="1" applyAlignment="1">
      <alignment horizontal="center" vertical="center" textRotation="90" wrapText="1"/>
    </xf>
    <xf numFmtId="0" fontId="6" fillId="0" borderId="16" xfId="1" applyFont="1" applyBorder="1" applyAlignment="1">
      <alignment horizontal="center" vertical="center" textRotation="90" wrapText="1"/>
    </xf>
    <xf numFmtId="0" fontId="12" fillId="0" borderId="3" xfId="5" applyFont="1" applyBorder="1" applyAlignment="1">
      <alignment horizontal="left" vertical="center" wrapText="1"/>
    </xf>
    <xf numFmtId="0" fontId="12" fillId="0" borderId="4" xfId="5" applyFont="1" applyBorder="1" applyAlignment="1">
      <alignment horizontal="left" vertical="center" wrapText="1"/>
    </xf>
    <xf numFmtId="0" fontId="5" fillId="0" borderId="9" xfId="1" applyFont="1" applyBorder="1" applyAlignment="1">
      <alignment horizontal="center" vertical="center" textRotation="90" wrapText="1"/>
    </xf>
    <xf numFmtId="0" fontId="5" fillId="0" borderId="18" xfId="1" applyFont="1" applyBorder="1" applyAlignment="1">
      <alignment horizontal="center" vertical="center" textRotation="90" wrapText="1"/>
    </xf>
    <xf numFmtId="0" fontId="5" fillId="0" borderId="16" xfId="1" applyFont="1" applyBorder="1" applyAlignment="1">
      <alignment horizontal="center" vertical="center" textRotation="90" wrapText="1"/>
    </xf>
    <xf numFmtId="0" fontId="6" fillId="0" borderId="0" xfId="1" applyFont="1" applyAlignment="1">
      <alignment horizontal="right"/>
    </xf>
    <xf numFmtId="0" fontId="6" fillId="0" borderId="7" xfId="1" applyFont="1" applyBorder="1" applyAlignment="1">
      <alignment horizontal="center" vertical="center"/>
    </xf>
    <xf numFmtId="0" fontId="6" fillId="0" borderId="15"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0" xfId="1" applyFont="1" applyAlignment="1">
      <alignment horizontal="center" vertical="center" wrapText="1"/>
    </xf>
    <xf numFmtId="0" fontId="6" fillId="0" borderId="19" xfId="1" applyFont="1" applyBorder="1" applyAlignment="1">
      <alignment horizontal="center" vertical="center" wrapText="1"/>
    </xf>
    <xf numFmtId="0" fontId="6" fillId="5" borderId="15" xfId="1" applyFont="1" applyFill="1" applyBorder="1" applyAlignment="1">
      <alignment horizontal="center" vertical="center" wrapText="1"/>
    </xf>
    <xf numFmtId="0" fontId="6" fillId="6" borderId="15" xfId="1" applyFont="1" applyFill="1" applyBorder="1" applyAlignment="1">
      <alignment horizontal="center" vertical="center" wrapText="1"/>
    </xf>
    <xf numFmtId="0" fontId="12" fillId="0" borderId="57" xfId="5" applyFont="1" applyBorder="1" applyAlignment="1">
      <alignment horizontal="left" vertical="top" wrapText="1"/>
    </xf>
    <xf numFmtId="0" fontId="12" fillId="0" borderId="58" xfId="5" applyFont="1" applyBorder="1" applyAlignment="1">
      <alignment horizontal="left" vertical="top" wrapText="1"/>
    </xf>
    <xf numFmtId="0" fontId="5" fillId="0" borderId="9" xfId="1" applyFont="1" applyBorder="1" applyAlignment="1">
      <alignment horizontal="center" vertical="center" textRotation="90"/>
    </xf>
    <xf numFmtId="0" fontId="5" fillId="0" borderId="18" xfId="1" applyFont="1" applyBorder="1" applyAlignment="1">
      <alignment horizontal="center" vertical="center" textRotation="90"/>
    </xf>
    <xf numFmtId="0" fontId="5" fillId="0" borderId="16" xfId="1" applyFont="1" applyBorder="1" applyAlignment="1">
      <alignment horizontal="center" vertical="center" textRotation="90"/>
    </xf>
    <xf numFmtId="0" fontId="15" fillId="0" borderId="11" xfId="1" applyFont="1" applyBorder="1" applyAlignment="1">
      <alignment horizontal="center" vertical="center"/>
    </xf>
    <xf numFmtId="0" fontId="15" fillId="0" borderId="0" xfId="1" applyFont="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2" xfId="1" applyFont="1" applyBorder="1" applyAlignment="1">
      <alignment horizontal="center" vertical="center"/>
    </xf>
    <xf numFmtId="0" fontId="6" fillId="0" borderId="25" xfId="1" applyFont="1" applyBorder="1" applyAlignment="1">
      <alignment horizontal="center" vertical="center" wrapText="1"/>
    </xf>
    <xf numFmtId="0" fontId="6" fillId="0" borderId="40" xfId="1" applyFont="1" applyBorder="1" applyAlignment="1">
      <alignment horizontal="center" vertical="center" wrapText="1"/>
    </xf>
    <xf numFmtId="0" fontId="6" fillId="0" borderId="17" xfId="1" applyFont="1" applyBorder="1" applyAlignment="1">
      <alignment horizontal="center" vertical="center" wrapText="1"/>
    </xf>
    <xf numFmtId="0" fontId="12" fillId="0" borderId="55" xfId="5" applyFont="1" applyBorder="1" applyAlignment="1">
      <alignment horizontal="left" vertical="center" wrapText="1"/>
    </xf>
    <xf numFmtId="0" fontId="12" fillId="0" borderId="53" xfId="5" applyFont="1" applyBorder="1" applyAlignment="1">
      <alignment horizontal="left" vertical="center" wrapText="1"/>
    </xf>
    <xf numFmtId="0" fontId="12" fillId="0" borderId="52" xfId="5" applyFont="1" applyBorder="1" applyAlignment="1">
      <alignment horizontal="left" vertical="center" wrapText="1"/>
    </xf>
    <xf numFmtId="0" fontId="12" fillId="0" borderId="15" xfId="5" applyFont="1" applyBorder="1" applyAlignment="1">
      <alignment horizontal="left" vertical="center" wrapText="1"/>
    </xf>
    <xf numFmtId="0" fontId="6" fillId="0" borderId="40" xfId="1" applyFont="1" applyBorder="1" applyAlignment="1">
      <alignment horizontal="center" vertical="center" textRotation="90" wrapText="1"/>
    </xf>
    <xf numFmtId="0" fontId="5" fillId="0" borderId="40"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44" xfId="1" applyFont="1" applyBorder="1" applyAlignment="1">
      <alignment horizontal="center" vertical="center" wrapText="1"/>
    </xf>
    <xf numFmtId="0" fontId="6" fillId="0" borderId="15" xfId="1" applyFont="1" applyBorder="1" applyAlignment="1">
      <alignment horizontal="center" vertical="center"/>
    </xf>
    <xf numFmtId="0" fontId="6" fillId="6" borderId="49" xfId="1" applyFont="1" applyFill="1" applyBorder="1" applyAlignment="1">
      <alignment horizontal="center" vertical="center" wrapText="1"/>
    </xf>
    <xf numFmtId="0" fontId="6" fillId="6" borderId="50" xfId="1" applyFont="1" applyFill="1" applyBorder="1" applyAlignment="1">
      <alignment horizontal="center" vertical="center" wrapText="1"/>
    </xf>
    <xf numFmtId="0" fontId="6" fillId="6" borderId="46" xfId="1" applyFont="1" applyFill="1" applyBorder="1" applyAlignment="1">
      <alignment horizontal="center" vertical="center" wrapText="1"/>
    </xf>
    <xf numFmtId="0" fontId="6" fillId="0" borderId="24" xfId="1" applyFont="1" applyBorder="1" applyAlignment="1">
      <alignment horizontal="center" vertical="center" textRotation="90" wrapText="1"/>
    </xf>
    <xf numFmtId="0" fontId="6" fillId="0" borderId="0" xfId="1" applyFont="1" applyAlignment="1">
      <alignment horizontal="center" vertical="center" textRotation="90" wrapText="1"/>
    </xf>
    <xf numFmtId="0" fontId="6" fillId="0" borderId="19" xfId="1" applyFont="1" applyBorder="1" applyAlignment="1">
      <alignment horizontal="center" vertical="center" textRotation="90" wrapText="1"/>
    </xf>
    <xf numFmtId="0" fontId="6" fillId="0" borderId="37" xfId="1" applyFont="1" applyBorder="1" applyAlignment="1">
      <alignment horizontal="center" vertical="center" textRotation="90" wrapText="1"/>
    </xf>
    <xf numFmtId="0" fontId="6" fillId="0" borderId="17" xfId="1" applyFont="1" applyBorder="1" applyAlignment="1">
      <alignment horizontal="center" vertical="center"/>
    </xf>
    <xf numFmtId="0" fontId="6" fillId="0" borderId="51" xfId="1" applyFont="1" applyBorder="1" applyAlignment="1">
      <alignment horizontal="center" vertical="center"/>
    </xf>
    <xf numFmtId="0" fontId="5" fillId="0" borderId="25" xfId="1" applyFont="1" applyBorder="1" applyAlignment="1">
      <alignment horizontal="center" vertical="center" wrapText="1"/>
    </xf>
    <xf numFmtId="0" fontId="6" fillId="0" borderId="59" xfId="1" applyFont="1" applyBorder="1" applyAlignment="1">
      <alignment horizontal="center" vertical="center" textRotation="90" wrapText="1"/>
    </xf>
    <xf numFmtId="0" fontId="6" fillId="0" borderId="41" xfId="1" applyFont="1" applyBorder="1" applyAlignment="1">
      <alignment horizontal="center" vertical="center" textRotation="90" wrapText="1"/>
    </xf>
    <xf numFmtId="0" fontId="6" fillId="0" borderId="8" xfId="1" applyFont="1" applyBorder="1" applyAlignment="1">
      <alignment horizontal="center" vertical="center" textRotation="90" wrapText="1"/>
    </xf>
    <xf numFmtId="0" fontId="15" fillId="0" borderId="11" xfId="1" applyFont="1" applyBorder="1" applyAlignment="1">
      <alignment horizontal="center"/>
    </xf>
    <xf numFmtId="0" fontId="15" fillId="0" borderId="0" xfId="1" applyFont="1" applyAlignment="1">
      <alignment horizontal="center"/>
    </xf>
    <xf numFmtId="0" fontId="15" fillId="0" borderId="12" xfId="1"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2" xfId="1" applyFont="1" applyBorder="1" applyAlignment="1">
      <alignment horizontal="center"/>
    </xf>
    <xf numFmtId="0" fontId="6" fillId="0" borderId="16" xfId="1" applyFont="1" applyBorder="1" applyAlignment="1">
      <alignment horizontal="center" vertical="center"/>
    </xf>
    <xf numFmtId="0" fontId="7" fillId="0" borderId="47" xfId="0" applyFont="1" applyBorder="1" applyAlignment="1">
      <alignment horizontal="center"/>
    </xf>
    <xf numFmtId="0" fontId="7" fillId="0" borderId="13" xfId="0" applyFont="1" applyBorder="1" applyAlignment="1">
      <alignment horizontal="center"/>
    </xf>
    <xf numFmtId="0" fontId="7" fillId="0" borderId="48" xfId="0" applyFont="1" applyBorder="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0" borderId="1" xfId="0" applyBorder="1" applyAlignment="1">
      <alignment horizontal="center" wrapText="1"/>
    </xf>
    <xf numFmtId="0" fontId="0" fillId="0" borderId="11" xfId="0" applyBorder="1" applyAlignment="1">
      <alignment horizontal="center" wrapText="1"/>
    </xf>
    <xf numFmtId="0" fontId="0" fillId="0" borderId="0" xfId="0" applyAlignment="1">
      <alignment horizontal="center" wrapText="1"/>
    </xf>
    <xf numFmtId="0" fontId="0" fillId="0" borderId="12"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2" xfId="0" applyBorder="1" applyAlignment="1">
      <alignment horizontal="center" wrapText="1"/>
    </xf>
    <xf numFmtId="167" fontId="8" fillId="0" borderId="15" xfId="0" applyNumberFormat="1" applyFont="1" applyBorder="1" applyAlignment="1">
      <alignment horizontal="center"/>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 fillId="0" borderId="4" xfId="5" applyFont="1" applyBorder="1" applyAlignment="1">
      <alignment horizontal="left" vertical="center" wrapText="1"/>
    </xf>
    <xf numFmtId="0" fontId="1" fillId="0" borderId="0" xfId="5" applyFont="1" applyAlignment="1">
      <alignment horizontal="left" vertical="center" wrapText="1"/>
    </xf>
    <xf numFmtId="0" fontId="1" fillId="0" borderId="6" xfId="5" applyFont="1" applyBorder="1" applyAlignment="1">
      <alignment horizontal="center" vertical="center" wrapText="1"/>
    </xf>
    <xf numFmtId="0" fontId="0" fillId="0" borderId="15" xfId="0"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0" xfId="0" applyFont="1" applyAlignment="1">
      <alignment horizontal="center" wrapText="1"/>
    </xf>
    <xf numFmtId="0" fontId="1" fillId="0" borderId="12"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2" xfId="0" applyFont="1" applyBorder="1" applyAlignment="1">
      <alignment horizontal="center" wrapText="1"/>
    </xf>
  </cellXfs>
  <cellStyles count="9">
    <cellStyle name="Collegamento ipertestuale" xfId="7" builtinId="8"/>
    <cellStyle name="Excel Built-in Normal" xfId="1" xr:uid="{00000000-0005-0000-0000-000001000000}"/>
    <cellStyle name="Migliaia" xfId="2" builtinId="3"/>
    <cellStyle name="Migliaia 2" xfId="3" xr:uid="{00000000-0005-0000-0000-000003000000}"/>
    <cellStyle name="Migliaia 3" xfId="4" xr:uid="{00000000-0005-0000-0000-000004000000}"/>
    <cellStyle name="Normale" xfId="0" builtinId="0"/>
    <cellStyle name="Normale 2" xfId="5" xr:uid="{00000000-0005-0000-0000-000006000000}"/>
    <cellStyle name="Normale 3" xfId="6" xr:uid="{00000000-0005-0000-0000-000007000000}"/>
    <cellStyle name="Valuta" xfId="8"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vangelisti@agid.gov.i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vangelisti@agid.gov.i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vangelisti@agid.gov.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evangelisti@agid.gov.i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evangElisti@agid.gov.i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evangelisti@agid.gov.i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evangelisti@agid.gov.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evangelisti@agid.gov.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R48"/>
  <sheetViews>
    <sheetView topLeftCell="B1" zoomScale="80" zoomScaleNormal="80" workbookViewId="0">
      <selection activeCell="C10" sqref="C10:K11"/>
    </sheetView>
  </sheetViews>
  <sheetFormatPr defaultColWidth="8.5546875" defaultRowHeight="15.6" x14ac:dyDescent="0.3"/>
  <cols>
    <col min="1" max="1" width="13.21875" style="29" customWidth="1"/>
    <col min="2" max="2" width="24.44140625" style="29" customWidth="1"/>
    <col min="3" max="3" width="19.5546875" style="29" customWidth="1"/>
    <col min="4" max="4" width="24.77734375" style="29" customWidth="1"/>
    <col min="5" max="5" width="25.77734375" style="36" customWidth="1"/>
    <col min="6" max="6" width="12.77734375" style="36" customWidth="1"/>
    <col min="7" max="7" width="11.21875" style="29" customWidth="1"/>
    <col min="8" max="8" width="13.21875" style="29" customWidth="1"/>
    <col min="9" max="9" width="13.77734375" style="29" customWidth="1"/>
    <col min="10" max="10" width="13.5546875" style="29" customWidth="1"/>
    <col min="11" max="11" width="16.21875" style="29" customWidth="1"/>
    <col min="12" max="12" width="15.77734375" style="29" customWidth="1"/>
    <col min="13" max="13" width="10.5546875" style="29" customWidth="1"/>
    <col min="14" max="14" width="19.21875" style="29" customWidth="1"/>
    <col min="15" max="15" width="8.5546875" style="29"/>
    <col min="16" max="16" width="11.44140625" style="29" customWidth="1"/>
    <col min="17" max="18" width="12" style="29" customWidth="1"/>
    <col min="19" max="16384" width="8.5546875" style="29"/>
  </cols>
  <sheetData>
    <row r="1" spans="1:18" ht="16.2" x14ac:dyDescent="0.35">
      <c r="A1" s="271" t="s">
        <v>0</v>
      </c>
      <c r="B1" s="272"/>
      <c r="C1" s="180" t="s">
        <v>1</v>
      </c>
      <c r="D1" s="186"/>
      <c r="H1" s="259" t="s">
        <v>2</v>
      </c>
      <c r="I1" s="260"/>
      <c r="J1" s="260"/>
      <c r="K1" s="261"/>
      <c r="M1" s="247"/>
      <c r="N1" s="247"/>
    </row>
    <row r="2" spans="1:18" ht="18" x14ac:dyDescent="0.35">
      <c r="A2" s="187" t="s">
        <v>3</v>
      </c>
      <c r="C2" s="179"/>
      <c r="D2" s="188"/>
      <c r="G2" s="30"/>
      <c r="H2" s="248" t="s">
        <v>4</v>
      </c>
      <c r="I2" s="249"/>
      <c r="J2" s="249"/>
      <c r="K2" s="250"/>
    </row>
    <row r="3" spans="1:18" ht="31.8" thickBot="1" x14ac:dyDescent="0.35">
      <c r="A3" s="183" t="s">
        <v>5</v>
      </c>
      <c r="B3" s="184" t="s">
        <v>6</v>
      </c>
      <c r="C3" s="184" t="s">
        <v>7</v>
      </c>
      <c r="D3" s="189" t="s">
        <v>8</v>
      </c>
      <c r="H3" s="93"/>
      <c r="I3" s="251"/>
      <c r="J3" s="251"/>
      <c r="K3" s="94"/>
    </row>
    <row r="4" spans="1:18" ht="14.25" customHeight="1" x14ac:dyDescent="0.3">
      <c r="A4" s="95"/>
      <c r="B4" s="95"/>
      <c r="C4" s="95"/>
      <c r="D4" s="95"/>
      <c r="E4" s="96"/>
      <c r="F4" s="96"/>
      <c r="G4" s="95"/>
      <c r="H4" s="95"/>
      <c r="I4" s="95"/>
      <c r="J4" s="95"/>
      <c r="K4" s="95"/>
      <c r="L4" s="95"/>
      <c r="M4" s="97"/>
      <c r="N4" s="97"/>
    </row>
    <row r="5" spans="1:18" x14ac:dyDescent="0.3">
      <c r="A5" s="252" t="s">
        <v>9</v>
      </c>
      <c r="B5" s="252"/>
      <c r="C5" s="252"/>
      <c r="D5" s="252"/>
      <c r="E5" s="252"/>
      <c r="F5" s="252"/>
      <c r="G5" s="252"/>
      <c r="H5" s="252"/>
      <c r="I5" s="252"/>
      <c r="J5" s="252"/>
      <c r="K5" s="252"/>
      <c r="L5" s="252"/>
      <c r="M5" s="252"/>
      <c r="N5" s="252"/>
    </row>
    <row r="6" spans="1:18" ht="15" customHeight="1" x14ac:dyDescent="0.3">
      <c r="A6" s="268" t="s">
        <v>10</v>
      </c>
      <c r="B6" s="241" t="s">
        <v>11</v>
      </c>
      <c r="C6" s="241" t="s">
        <v>12</v>
      </c>
      <c r="D6" s="241" t="s">
        <v>13</v>
      </c>
      <c r="E6" s="241" t="s">
        <v>14</v>
      </c>
      <c r="F6" s="241" t="s">
        <v>15</v>
      </c>
      <c r="G6" s="241" t="s">
        <v>16</v>
      </c>
      <c r="H6" s="265" t="s">
        <v>17</v>
      </c>
      <c r="I6" s="241" t="s">
        <v>18</v>
      </c>
      <c r="J6" s="241" t="s">
        <v>19</v>
      </c>
      <c r="K6" s="241" t="s">
        <v>20</v>
      </c>
      <c r="L6" s="253" t="s">
        <v>21</v>
      </c>
      <c r="M6" s="262" t="s">
        <v>22</v>
      </c>
      <c r="N6" s="256" t="s">
        <v>23</v>
      </c>
    </row>
    <row r="7" spans="1:18" ht="15" customHeight="1" x14ac:dyDescent="0.3">
      <c r="A7" s="269"/>
      <c r="B7" s="242"/>
      <c r="C7" s="242"/>
      <c r="D7" s="242"/>
      <c r="E7" s="242"/>
      <c r="F7" s="242"/>
      <c r="G7" s="242"/>
      <c r="H7" s="266"/>
      <c r="I7" s="242"/>
      <c r="J7" s="242"/>
      <c r="K7" s="242"/>
      <c r="L7" s="254"/>
      <c r="M7" s="263"/>
      <c r="N7" s="257"/>
    </row>
    <row r="8" spans="1:18" ht="15" customHeight="1" x14ac:dyDescent="0.3">
      <c r="A8" s="269"/>
      <c r="B8" s="242"/>
      <c r="C8" s="242"/>
      <c r="D8" s="242"/>
      <c r="E8" s="242"/>
      <c r="F8" s="242"/>
      <c r="G8" s="242"/>
      <c r="H8" s="266"/>
      <c r="I8" s="242"/>
      <c r="J8" s="242"/>
      <c r="K8" s="242"/>
      <c r="L8" s="254"/>
      <c r="M8" s="263"/>
      <c r="N8" s="257"/>
    </row>
    <row r="9" spans="1:18" ht="21.75" customHeight="1" x14ac:dyDescent="0.3">
      <c r="A9" s="269"/>
      <c r="B9" s="243"/>
      <c r="C9" s="242"/>
      <c r="D9" s="243"/>
      <c r="E9" s="243"/>
      <c r="F9" s="243"/>
      <c r="G9" s="243"/>
      <c r="H9" s="267"/>
      <c r="I9" s="243"/>
      <c r="J9" s="243"/>
      <c r="K9" s="243"/>
      <c r="L9" s="255"/>
      <c r="M9" s="264"/>
      <c r="N9" s="258"/>
      <c r="P9" s="33"/>
    </row>
    <row r="10" spans="1:18" ht="18" customHeight="1" x14ac:dyDescent="0.3">
      <c r="A10" s="269"/>
      <c r="B10" s="20" t="s">
        <v>24</v>
      </c>
      <c r="C10" s="229">
        <f>4623.3*12</f>
        <v>55479.600000000006</v>
      </c>
      <c r="D10" s="230"/>
      <c r="E10" s="231">
        <f>23.12*12</f>
        <v>277.44</v>
      </c>
      <c r="F10" s="231"/>
      <c r="G10" s="232">
        <f>+(C10+D10+E10)/12</f>
        <v>4646.420000000001</v>
      </c>
      <c r="H10" s="233">
        <f>+C10+D10+E10+G10</f>
        <v>60403.460000000006</v>
      </c>
      <c r="I10" s="232">
        <f>H10*23.46%</f>
        <v>14170.651716000002</v>
      </c>
      <c r="J10" s="232">
        <f>H10*7.41%</f>
        <v>4475.8963860000003</v>
      </c>
      <c r="K10" s="232">
        <f>H10*8.5%</f>
        <v>5134.294100000001</v>
      </c>
      <c r="L10" s="228">
        <f>+H10+I10+J10+K10</f>
        <v>84184.302202000021</v>
      </c>
      <c r="M10" s="11">
        <v>2</v>
      </c>
      <c r="N10" s="106">
        <f>+M10*L10</f>
        <v>168368.60440400004</v>
      </c>
      <c r="P10" s="33"/>
    </row>
    <row r="11" spans="1:18" ht="18" customHeight="1" x14ac:dyDescent="0.3">
      <c r="A11" s="270"/>
      <c r="B11" s="20" t="s">
        <v>25</v>
      </c>
      <c r="C11" s="229">
        <f>3616.6*12</f>
        <v>43399.199999999997</v>
      </c>
      <c r="D11" s="234"/>
      <c r="E11" s="235">
        <f>18.08*12</f>
        <v>216.95999999999998</v>
      </c>
      <c r="F11" s="235"/>
      <c r="G11" s="232">
        <f>+(C11+D11+E11)/12</f>
        <v>3634.68</v>
      </c>
      <c r="H11" s="233">
        <f>+C11+D11+E11+G11</f>
        <v>47250.84</v>
      </c>
      <c r="I11" s="232">
        <f>H11*23.46%</f>
        <v>11085.047063999998</v>
      </c>
      <c r="J11" s="232">
        <f>H11*7.41%</f>
        <v>3501.2872439999996</v>
      </c>
      <c r="K11" s="232">
        <f>H11*8.5%</f>
        <v>4016.3213999999998</v>
      </c>
      <c r="L11" s="228">
        <f>+H11+I11+J11+K11</f>
        <v>65853.495707999988</v>
      </c>
      <c r="M11" s="14">
        <v>12</v>
      </c>
      <c r="N11" s="106">
        <f>+M11*L11</f>
        <v>790241.94849599991</v>
      </c>
      <c r="P11" s="34"/>
      <c r="R11" s="30"/>
    </row>
    <row r="12" spans="1:18" ht="13.95" customHeight="1" x14ac:dyDescent="0.3">
      <c r="A12" s="40"/>
      <c r="B12" s="41"/>
      <c r="C12" s="42"/>
      <c r="D12" s="43"/>
      <c r="E12" s="43"/>
      <c r="F12" s="43"/>
      <c r="G12" s="43"/>
      <c r="H12" s="43"/>
      <c r="I12" s="43"/>
      <c r="J12" s="43"/>
      <c r="K12" s="43"/>
      <c r="L12" s="43"/>
      <c r="M12" s="43"/>
      <c r="N12" s="43"/>
      <c r="P12" s="34"/>
      <c r="Q12" s="30"/>
      <c r="R12" s="30"/>
    </row>
    <row r="13" spans="1:18" ht="15" customHeight="1" x14ac:dyDescent="0.3">
      <c r="A13" s="268" t="s">
        <v>26</v>
      </c>
      <c r="B13" s="273" t="s">
        <v>27</v>
      </c>
      <c r="C13" s="241" t="s">
        <v>28</v>
      </c>
      <c r="D13" s="244"/>
      <c r="E13" s="241" t="s">
        <v>14</v>
      </c>
      <c r="F13" s="241" t="s">
        <v>29</v>
      </c>
      <c r="G13" s="241" t="s">
        <v>16</v>
      </c>
      <c r="H13" s="265" t="s">
        <v>17</v>
      </c>
      <c r="I13" s="241" t="s">
        <v>30</v>
      </c>
      <c r="J13" s="241" t="s">
        <v>19</v>
      </c>
      <c r="K13" s="241" t="s">
        <v>20</v>
      </c>
      <c r="L13" s="253" t="s">
        <v>21</v>
      </c>
      <c r="M13" s="262" t="s">
        <v>22</v>
      </c>
      <c r="N13" s="256" t="s">
        <v>23</v>
      </c>
      <c r="P13" s="34"/>
      <c r="Q13" s="30"/>
      <c r="R13" s="30"/>
    </row>
    <row r="14" spans="1:18" ht="15" customHeight="1" x14ac:dyDescent="0.3">
      <c r="A14" s="269"/>
      <c r="B14" s="274"/>
      <c r="C14" s="242"/>
      <c r="D14" s="245"/>
      <c r="E14" s="242"/>
      <c r="F14" s="242"/>
      <c r="G14" s="242"/>
      <c r="H14" s="266"/>
      <c r="I14" s="242"/>
      <c r="J14" s="242"/>
      <c r="K14" s="242"/>
      <c r="L14" s="254"/>
      <c r="M14" s="263"/>
      <c r="N14" s="257"/>
      <c r="Q14" s="30"/>
      <c r="R14" s="30"/>
    </row>
    <row r="15" spans="1:18" ht="15" customHeight="1" x14ac:dyDescent="0.3">
      <c r="A15" s="269"/>
      <c r="B15" s="274"/>
      <c r="C15" s="242"/>
      <c r="D15" s="245"/>
      <c r="E15" s="242"/>
      <c r="F15" s="242"/>
      <c r="G15" s="242"/>
      <c r="H15" s="266"/>
      <c r="I15" s="242"/>
      <c r="J15" s="242"/>
      <c r="K15" s="242"/>
      <c r="L15" s="254"/>
      <c r="M15" s="263"/>
      <c r="N15" s="257"/>
    </row>
    <row r="16" spans="1:18" ht="58.2" customHeight="1" x14ac:dyDescent="0.3">
      <c r="A16" s="270"/>
      <c r="B16" s="275"/>
      <c r="C16" s="243"/>
      <c r="D16" s="246"/>
      <c r="E16" s="243"/>
      <c r="F16" s="243"/>
      <c r="G16" s="243"/>
      <c r="H16" s="267"/>
      <c r="I16" s="243"/>
      <c r="J16" s="243"/>
      <c r="K16" s="243"/>
      <c r="L16" s="255"/>
      <c r="M16" s="263"/>
      <c r="N16" s="257"/>
      <c r="R16" s="30"/>
    </row>
    <row r="17" spans="1:15" ht="18.75" customHeight="1" x14ac:dyDescent="0.3">
      <c r="A17" s="268" t="s">
        <v>31</v>
      </c>
      <c r="B17" s="23" t="s">
        <v>32</v>
      </c>
      <c r="C17" s="26">
        <v>44674.87</v>
      </c>
      <c r="D17" s="58"/>
      <c r="E17" s="25">
        <f>+ROUND(C17/12*0.005,2)*12</f>
        <v>223.32</v>
      </c>
      <c r="F17" s="109"/>
      <c r="G17" s="110">
        <f>+ROUND((C17+E17+F17)/12,2)</f>
        <v>3741.52</v>
      </c>
      <c r="H17" s="111">
        <f>+G17+E17+C17</f>
        <v>48639.710000000006</v>
      </c>
      <c r="I17" s="26">
        <f>H17*23.46%</f>
        <v>11410.875966000001</v>
      </c>
      <c r="J17" s="26">
        <f>H17*7.41%</f>
        <v>3604.2025110000004</v>
      </c>
      <c r="K17" s="26">
        <f>H17*8.5%</f>
        <v>4134.3753500000012</v>
      </c>
      <c r="L17" s="27">
        <f>+H17+I17+J17+K17</f>
        <v>67789.163827000011</v>
      </c>
      <c r="M17" s="46"/>
      <c r="N17" s="106">
        <f>+M17*L17</f>
        <v>0</v>
      </c>
    </row>
    <row r="18" spans="1:15" ht="18.75" customHeight="1" x14ac:dyDescent="0.3">
      <c r="A18" s="269"/>
      <c r="B18" s="23" t="s">
        <v>33</v>
      </c>
      <c r="C18" s="26">
        <v>40560.15</v>
      </c>
      <c r="D18" s="58"/>
      <c r="E18" s="25">
        <f>+ROUND(C18/12*0.005,2)*12</f>
        <v>202.79999999999998</v>
      </c>
      <c r="F18" s="109"/>
      <c r="G18" s="110">
        <f>+ROUND((C18+E18+F18)/12,2)</f>
        <v>3396.91</v>
      </c>
      <c r="H18" s="111">
        <f>+G18+E18+C18</f>
        <v>44159.86</v>
      </c>
      <c r="I18" s="26">
        <f t="shared" ref="I18:I38" si="0">H18*23.46%</f>
        <v>10359.903156</v>
      </c>
      <c r="J18" s="26">
        <f t="shared" ref="J18:J38" si="1">H18*7.41%</f>
        <v>3272.2456259999999</v>
      </c>
      <c r="K18" s="26">
        <f>H18*8.5%</f>
        <v>3753.5881000000004</v>
      </c>
      <c r="L18" s="27">
        <f>+H18+I18+J18+K18</f>
        <v>61545.596882000005</v>
      </c>
      <c r="M18" s="46"/>
      <c r="N18" s="106">
        <f>+M18*L18</f>
        <v>0</v>
      </c>
    </row>
    <row r="19" spans="1:15" ht="18.75" customHeight="1" x14ac:dyDescent="0.3">
      <c r="A19" s="269"/>
      <c r="B19" s="23" t="s">
        <v>34</v>
      </c>
      <c r="C19" s="26">
        <v>34480.639999999999</v>
      </c>
      <c r="D19" s="58"/>
      <c r="E19" s="25">
        <f>+ROUND(C19/12*0.005,2)*12</f>
        <v>172.44</v>
      </c>
      <c r="F19" s="109"/>
      <c r="G19" s="110">
        <f>+ROUND((C19+E19+F19)/12,2)</f>
        <v>2887.76</v>
      </c>
      <c r="H19" s="111">
        <f>+G19+E19+C19</f>
        <v>37540.839999999997</v>
      </c>
      <c r="I19" s="26">
        <f t="shared" si="0"/>
        <v>8807.081064</v>
      </c>
      <c r="J19" s="26">
        <f t="shared" si="1"/>
        <v>2781.7762439999997</v>
      </c>
      <c r="K19" s="26">
        <f>H19*8.5%</f>
        <v>3190.9713999999999</v>
      </c>
      <c r="L19" s="27">
        <f>+H19+I19+J19+K19</f>
        <v>52320.668707999997</v>
      </c>
      <c r="M19" s="46"/>
      <c r="N19" s="106">
        <f>+M19*L19</f>
        <v>0</v>
      </c>
    </row>
    <row r="20" spans="1:15" ht="18.75" customHeight="1" x14ac:dyDescent="0.3">
      <c r="A20" s="270"/>
      <c r="B20" s="23" t="s">
        <v>35</v>
      </c>
      <c r="C20" s="26">
        <v>32491.32</v>
      </c>
      <c r="D20" s="58"/>
      <c r="E20" s="25">
        <f>+ROUND(C20/12*0.005,2)*12</f>
        <v>162.47999999999999</v>
      </c>
      <c r="F20" s="109"/>
      <c r="G20" s="110">
        <f>+ROUND((C20+E20+F20)/12,2)</f>
        <v>2721.15</v>
      </c>
      <c r="H20" s="111">
        <f>+G20+E20+C20</f>
        <v>35374.949999999997</v>
      </c>
      <c r="I20" s="26">
        <f t="shared" si="0"/>
        <v>8298.9632700000002</v>
      </c>
      <c r="J20" s="26">
        <f t="shared" si="1"/>
        <v>2621.2837949999998</v>
      </c>
      <c r="K20" s="26">
        <f>H20*8.5%</f>
        <v>3006.87075</v>
      </c>
      <c r="L20" s="27">
        <f>+H20+I20+J20+K20</f>
        <v>49302.067815000002</v>
      </c>
      <c r="M20" s="46">
        <v>21</v>
      </c>
      <c r="N20" s="106">
        <f>+M20*L20</f>
        <v>1035343.4241150001</v>
      </c>
      <c r="O20" s="29">
        <v>48</v>
      </c>
    </row>
    <row r="21" spans="1:15" ht="18.75" customHeight="1" x14ac:dyDescent="0.3">
      <c r="A21" s="268" t="s">
        <v>36</v>
      </c>
      <c r="B21" s="23" t="s">
        <v>34</v>
      </c>
      <c r="C21" s="24">
        <v>33614.480000000003</v>
      </c>
      <c r="D21" s="58"/>
      <c r="E21" s="25">
        <f>+ROUND(C21/12*0.005,2)*12</f>
        <v>168.12</v>
      </c>
      <c r="F21" s="109"/>
      <c r="G21" s="110">
        <f>+ROUND((C21+E21+F21)/12,2)</f>
        <v>2815.22</v>
      </c>
      <c r="H21" s="111">
        <f t="shared" ref="H21:H27" si="2">+G21+E21+C21</f>
        <v>36597.82</v>
      </c>
      <c r="I21" s="26">
        <f t="shared" si="0"/>
        <v>8585.8485720000008</v>
      </c>
      <c r="J21" s="26">
        <f t="shared" si="1"/>
        <v>2711.8984620000001</v>
      </c>
      <c r="K21" s="26">
        <f>H21*8.5%</f>
        <v>3110.8147000000004</v>
      </c>
      <c r="L21" s="27">
        <f>+H21+I21+J21+K21</f>
        <v>51006.381734000002</v>
      </c>
      <c r="M21" s="46"/>
      <c r="N21" s="106">
        <f>+M21*L21</f>
        <v>0</v>
      </c>
    </row>
    <row r="22" spans="1:15" ht="18.75" customHeight="1" x14ac:dyDescent="0.3">
      <c r="A22" s="269"/>
      <c r="B22" s="23" t="s">
        <v>35</v>
      </c>
      <c r="C22" s="24">
        <v>31641</v>
      </c>
      <c r="D22" s="58"/>
      <c r="E22" s="25">
        <f t="shared" ref="E22:E38" si="3">+ROUND(C22/12*0.005,2)*12</f>
        <v>158.16</v>
      </c>
      <c r="F22" s="109"/>
      <c r="G22" s="110">
        <f t="shared" ref="G22:G38" si="4">+ROUND((C22+E22+F22)/12,2)</f>
        <v>2649.93</v>
      </c>
      <c r="H22" s="111">
        <f t="shared" si="2"/>
        <v>34449.089999999997</v>
      </c>
      <c r="I22" s="26">
        <f t="shared" si="0"/>
        <v>8081.7565139999997</v>
      </c>
      <c r="J22" s="26">
        <f t="shared" si="1"/>
        <v>2552.6775689999995</v>
      </c>
      <c r="K22" s="26">
        <f t="shared" ref="K22:K27" si="5">H22*8.5%</f>
        <v>2928.17265</v>
      </c>
      <c r="L22" s="112">
        <f t="shared" ref="L22:L38" si="6">+H22+I22+J22+K22</f>
        <v>48011.696732999997</v>
      </c>
      <c r="M22" s="46"/>
      <c r="N22" s="106">
        <f t="shared" ref="N22:N38" si="7">+M22*L22</f>
        <v>0</v>
      </c>
    </row>
    <row r="23" spans="1:15" ht="18.75" customHeight="1" x14ac:dyDescent="0.3">
      <c r="A23" s="269"/>
      <c r="B23" s="23" t="s">
        <v>37</v>
      </c>
      <c r="C23" s="24">
        <v>29655.67</v>
      </c>
      <c r="D23" s="58"/>
      <c r="E23" s="25">
        <f t="shared" si="3"/>
        <v>148.32</v>
      </c>
      <c r="F23" s="109"/>
      <c r="G23" s="110">
        <f t="shared" si="4"/>
        <v>2483.67</v>
      </c>
      <c r="H23" s="111">
        <f t="shared" si="2"/>
        <v>32287.66</v>
      </c>
      <c r="I23" s="26">
        <f t="shared" si="0"/>
        <v>7574.6850359999999</v>
      </c>
      <c r="J23" s="26">
        <f t="shared" si="1"/>
        <v>2392.5156059999999</v>
      </c>
      <c r="K23" s="113">
        <f t="shared" si="5"/>
        <v>2744.4511000000002</v>
      </c>
      <c r="L23" s="45">
        <f t="shared" si="6"/>
        <v>44999.311741999998</v>
      </c>
      <c r="M23" s="46"/>
      <c r="N23" s="106">
        <f t="shared" si="7"/>
        <v>0</v>
      </c>
    </row>
    <row r="24" spans="1:15" ht="18.75" customHeight="1" x14ac:dyDescent="0.3">
      <c r="A24" s="269"/>
      <c r="B24" s="23" t="s">
        <v>38</v>
      </c>
      <c r="C24" s="24">
        <v>27858.84</v>
      </c>
      <c r="D24" s="59"/>
      <c r="E24" s="25">
        <f t="shared" si="3"/>
        <v>139.32</v>
      </c>
      <c r="F24" s="114"/>
      <c r="G24" s="110">
        <f t="shared" si="4"/>
        <v>2333.1799999999998</v>
      </c>
      <c r="H24" s="111">
        <f t="shared" si="2"/>
        <v>30331.34</v>
      </c>
      <c r="I24" s="26">
        <f t="shared" si="0"/>
        <v>7115.7323640000004</v>
      </c>
      <c r="J24" s="26">
        <f t="shared" si="1"/>
        <v>2247.5522940000001</v>
      </c>
      <c r="K24" s="113">
        <f t="shared" si="5"/>
        <v>2578.1639</v>
      </c>
      <c r="L24" s="45">
        <f t="shared" si="6"/>
        <v>42272.788558</v>
      </c>
      <c r="M24" s="46"/>
      <c r="N24" s="106">
        <f t="shared" si="7"/>
        <v>0</v>
      </c>
    </row>
    <row r="25" spans="1:15" ht="18.75" customHeight="1" x14ac:dyDescent="0.3">
      <c r="A25" s="269"/>
      <c r="B25" s="23" t="s">
        <v>39</v>
      </c>
      <c r="C25" s="24">
        <v>25373.64</v>
      </c>
      <c r="D25" s="59"/>
      <c r="E25" s="25">
        <f t="shared" si="3"/>
        <v>126.84</v>
      </c>
      <c r="F25" s="114"/>
      <c r="G25" s="110">
        <f t="shared" si="4"/>
        <v>2125.04</v>
      </c>
      <c r="H25" s="111">
        <f t="shared" si="2"/>
        <v>27625.52</v>
      </c>
      <c r="I25" s="26">
        <f t="shared" si="0"/>
        <v>6480.9469920000001</v>
      </c>
      <c r="J25" s="26">
        <f t="shared" si="1"/>
        <v>2047.0510320000001</v>
      </c>
      <c r="K25" s="113">
        <f t="shared" si="5"/>
        <v>2348.1692000000003</v>
      </c>
      <c r="L25" s="45">
        <f t="shared" si="6"/>
        <v>38501.687224000008</v>
      </c>
      <c r="M25" s="46"/>
      <c r="N25" s="106">
        <f t="shared" si="7"/>
        <v>0</v>
      </c>
    </row>
    <row r="26" spans="1:15" ht="18.75" customHeight="1" x14ac:dyDescent="0.3">
      <c r="A26" s="269"/>
      <c r="B26" s="23" t="s">
        <v>40</v>
      </c>
      <c r="C26" s="24">
        <v>24104.21</v>
      </c>
      <c r="D26" s="59"/>
      <c r="E26" s="25">
        <f t="shared" si="3"/>
        <v>120.47999999999999</v>
      </c>
      <c r="F26" s="114"/>
      <c r="G26" s="110">
        <f t="shared" si="4"/>
        <v>2018.72</v>
      </c>
      <c r="H26" s="111">
        <f t="shared" si="2"/>
        <v>26243.41</v>
      </c>
      <c r="I26" s="26">
        <f t="shared" si="0"/>
        <v>6156.7039860000004</v>
      </c>
      <c r="J26" s="26">
        <f t="shared" si="1"/>
        <v>1944.636681</v>
      </c>
      <c r="K26" s="113">
        <f t="shared" si="5"/>
        <v>2230.6898500000002</v>
      </c>
      <c r="L26" s="45">
        <f t="shared" si="6"/>
        <v>36575.440517000003</v>
      </c>
      <c r="M26" s="46"/>
      <c r="N26" s="106">
        <f t="shared" si="7"/>
        <v>0</v>
      </c>
    </row>
    <row r="27" spans="1:15" ht="18.75" customHeight="1" x14ac:dyDescent="0.3">
      <c r="A27" s="269"/>
      <c r="B27" s="23" t="s">
        <v>41</v>
      </c>
      <c r="C27" s="24">
        <v>23299.78</v>
      </c>
      <c r="D27" s="59"/>
      <c r="E27" s="25">
        <f t="shared" si="3"/>
        <v>116.52000000000001</v>
      </c>
      <c r="F27" s="114"/>
      <c r="G27" s="110">
        <f t="shared" si="4"/>
        <v>1951.36</v>
      </c>
      <c r="H27" s="111">
        <f t="shared" si="2"/>
        <v>25367.66</v>
      </c>
      <c r="I27" s="26">
        <f t="shared" si="0"/>
        <v>5951.2530360000001</v>
      </c>
      <c r="J27" s="26">
        <f t="shared" si="1"/>
        <v>1879.743606</v>
      </c>
      <c r="K27" s="113">
        <f t="shared" si="5"/>
        <v>2156.2511</v>
      </c>
      <c r="L27" s="45">
        <f t="shared" si="6"/>
        <v>35354.907742000003</v>
      </c>
      <c r="M27" s="46">
        <v>65</v>
      </c>
      <c r="N27" s="106">
        <f t="shared" si="7"/>
        <v>2298069.0032300004</v>
      </c>
      <c r="O27" s="29">
        <v>53</v>
      </c>
    </row>
    <row r="28" spans="1:15" ht="18.600000000000001" customHeight="1" x14ac:dyDescent="0.3">
      <c r="A28" s="121"/>
      <c r="B28" s="69"/>
      <c r="C28" s="61"/>
      <c r="D28" s="60"/>
      <c r="E28" s="63"/>
      <c r="F28" s="115"/>
      <c r="G28" s="116"/>
      <c r="H28" s="117"/>
      <c r="I28" s="164"/>
      <c r="J28" s="164"/>
      <c r="K28" s="118"/>
      <c r="L28" s="116"/>
      <c r="M28" s="129"/>
      <c r="N28" s="61"/>
    </row>
    <row r="29" spans="1:15" ht="18.75" customHeight="1" x14ac:dyDescent="0.3">
      <c r="A29" s="269" t="s">
        <v>42</v>
      </c>
      <c r="B29" s="31" t="s">
        <v>35</v>
      </c>
      <c r="C29" s="24">
        <v>24043.33</v>
      </c>
      <c r="D29" s="59"/>
      <c r="E29" s="25">
        <f t="shared" si="3"/>
        <v>120.24</v>
      </c>
      <c r="F29" s="114"/>
      <c r="G29" s="110">
        <f t="shared" si="4"/>
        <v>2013.63</v>
      </c>
      <c r="H29" s="111">
        <f t="shared" ref="H29:H34" si="8">+G29+E29+C29</f>
        <v>26177.200000000001</v>
      </c>
      <c r="I29" s="26">
        <f t="shared" si="0"/>
        <v>6141.17112</v>
      </c>
      <c r="J29" s="26">
        <f t="shared" si="1"/>
        <v>1939.7305200000001</v>
      </c>
      <c r="K29" s="113">
        <f t="shared" ref="K29:K34" si="9">H29*8.5%</f>
        <v>2225.0620000000004</v>
      </c>
      <c r="L29" s="45">
        <f t="shared" si="6"/>
        <v>36483.163639999999</v>
      </c>
      <c r="M29" s="130"/>
      <c r="N29" s="106">
        <f t="shared" si="7"/>
        <v>0</v>
      </c>
    </row>
    <row r="30" spans="1:15" ht="18.75" customHeight="1" x14ac:dyDescent="0.3">
      <c r="A30" s="269"/>
      <c r="B30" s="31" t="s">
        <v>37</v>
      </c>
      <c r="C30" s="24">
        <v>23386.86</v>
      </c>
      <c r="D30" s="59"/>
      <c r="E30" s="25">
        <f t="shared" si="3"/>
        <v>116.88</v>
      </c>
      <c r="F30" s="114"/>
      <c r="G30" s="110">
        <f t="shared" si="4"/>
        <v>1958.65</v>
      </c>
      <c r="H30" s="111">
        <f t="shared" si="8"/>
        <v>25462.39</v>
      </c>
      <c r="I30" s="26">
        <f t="shared" si="0"/>
        <v>5973.476694</v>
      </c>
      <c r="J30" s="26">
        <f t="shared" si="1"/>
        <v>1886.763099</v>
      </c>
      <c r="K30" s="113">
        <f t="shared" si="9"/>
        <v>2164.3031500000002</v>
      </c>
      <c r="L30" s="45">
        <f t="shared" si="6"/>
        <v>35486.932943</v>
      </c>
      <c r="M30" s="130"/>
      <c r="N30" s="106">
        <f t="shared" si="7"/>
        <v>0</v>
      </c>
    </row>
    <row r="31" spans="1:15" ht="18.75" customHeight="1" x14ac:dyDescent="0.3">
      <c r="A31" s="269"/>
      <c r="B31" s="31" t="s">
        <v>38</v>
      </c>
      <c r="C31" s="24">
        <v>22793.040000000001</v>
      </c>
      <c r="D31" s="59"/>
      <c r="E31" s="25">
        <f t="shared" si="3"/>
        <v>114</v>
      </c>
      <c r="F31" s="114"/>
      <c r="G31" s="110">
        <f t="shared" si="4"/>
        <v>1908.92</v>
      </c>
      <c r="H31" s="111">
        <f t="shared" si="8"/>
        <v>24815.96</v>
      </c>
      <c r="I31" s="26">
        <f t="shared" si="0"/>
        <v>5821.824216</v>
      </c>
      <c r="J31" s="26">
        <f t="shared" si="1"/>
        <v>1838.8626359999998</v>
      </c>
      <c r="K31" s="113">
        <f t="shared" si="9"/>
        <v>2109.3566000000001</v>
      </c>
      <c r="L31" s="45">
        <f t="shared" si="6"/>
        <v>34586.003451999997</v>
      </c>
      <c r="M31" s="130"/>
      <c r="N31" s="106">
        <f t="shared" si="7"/>
        <v>0</v>
      </c>
    </row>
    <row r="32" spans="1:15" ht="18.75" customHeight="1" x14ac:dyDescent="0.3">
      <c r="A32" s="269"/>
      <c r="B32" s="31" t="s">
        <v>39</v>
      </c>
      <c r="C32" s="24">
        <v>21449.360000000001</v>
      </c>
      <c r="D32" s="59"/>
      <c r="E32" s="25">
        <f t="shared" si="3"/>
        <v>107.28</v>
      </c>
      <c r="F32" s="114"/>
      <c r="G32" s="110">
        <f t="shared" si="4"/>
        <v>1796.39</v>
      </c>
      <c r="H32" s="111">
        <f t="shared" si="8"/>
        <v>23353.03</v>
      </c>
      <c r="I32" s="26">
        <f t="shared" si="0"/>
        <v>5478.6208379999998</v>
      </c>
      <c r="J32" s="26">
        <f t="shared" si="1"/>
        <v>1730.459523</v>
      </c>
      <c r="K32" s="113">
        <f t="shared" si="9"/>
        <v>1985.00755</v>
      </c>
      <c r="L32" s="45">
        <f t="shared" si="6"/>
        <v>32547.117910999998</v>
      </c>
      <c r="M32" s="130"/>
      <c r="N32" s="106">
        <f t="shared" si="7"/>
        <v>0</v>
      </c>
    </row>
    <row r="33" spans="1:18" ht="18.75" customHeight="1" x14ac:dyDescent="0.3">
      <c r="A33" s="269"/>
      <c r="B33" s="31" t="s">
        <v>40</v>
      </c>
      <c r="C33" s="24">
        <v>20167.03</v>
      </c>
      <c r="D33" s="59"/>
      <c r="E33" s="25">
        <f t="shared" si="3"/>
        <v>100.80000000000001</v>
      </c>
      <c r="F33" s="114"/>
      <c r="G33" s="110">
        <f t="shared" si="4"/>
        <v>1688.99</v>
      </c>
      <c r="H33" s="111">
        <f t="shared" si="8"/>
        <v>21956.82</v>
      </c>
      <c r="I33" s="26">
        <f t="shared" si="0"/>
        <v>5151.0699720000002</v>
      </c>
      <c r="J33" s="26">
        <f t="shared" si="1"/>
        <v>1627.000362</v>
      </c>
      <c r="K33" s="113">
        <f t="shared" si="9"/>
        <v>1866.3297</v>
      </c>
      <c r="L33" s="45">
        <f t="shared" si="6"/>
        <v>30601.220033999998</v>
      </c>
      <c r="M33" s="131"/>
      <c r="N33" s="106">
        <f t="shared" si="7"/>
        <v>0</v>
      </c>
      <c r="R33" s="32"/>
    </row>
    <row r="34" spans="1:18" ht="18.75" customHeight="1" x14ac:dyDescent="0.3">
      <c r="A34" s="269"/>
      <c r="B34" s="31" t="s">
        <v>41</v>
      </c>
      <c r="C34" s="24">
        <v>19202.04</v>
      </c>
      <c r="D34" s="59"/>
      <c r="E34" s="25">
        <f t="shared" si="3"/>
        <v>96</v>
      </c>
      <c r="F34" s="114"/>
      <c r="G34" s="110">
        <f t="shared" si="4"/>
        <v>1608.17</v>
      </c>
      <c r="H34" s="111">
        <f t="shared" si="8"/>
        <v>20906.21</v>
      </c>
      <c r="I34" s="26">
        <f t="shared" si="0"/>
        <v>4904.5968659999999</v>
      </c>
      <c r="J34" s="26">
        <f t="shared" si="1"/>
        <v>1549.150161</v>
      </c>
      <c r="K34" s="113">
        <f t="shared" si="9"/>
        <v>1777.0278499999999</v>
      </c>
      <c r="L34" s="45">
        <f t="shared" si="6"/>
        <v>29136.984876999999</v>
      </c>
      <c r="M34" s="47">
        <v>24</v>
      </c>
      <c r="N34" s="106">
        <f t="shared" si="7"/>
        <v>699287.637048</v>
      </c>
      <c r="R34" s="32"/>
    </row>
    <row r="35" spans="1:18" ht="18.600000000000001" customHeight="1" x14ac:dyDescent="0.3">
      <c r="A35" s="121"/>
      <c r="B35" s="120"/>
      <c r="C35" s="62"/>
      <c r="D35" s="61"/>
      <c r="E35" s="60"/>
      <c r="F35" s="115"/>
      <c r="G35" s="119"/>
      <c r="H35" s="117"/>
      <c r="I35" s="164"/>
      <c r="J35" s="164"/>
      <c r="K35" s="165"/>
      <c r="L35" s="65"/>
      <c r="M35" s="132"/>
      <c r="N35" s="71"/>
      <c r="R35" s="32"/>
    </row>
    <row r="36" spans="1:18" ht="18.75" customHeight="1" x14ac:dyDescent="0.3">
      <c r="A36" s="269" t="s">
        <v>43</v>
      </c>
      <c r="B36" s="31" t="s">
        <v>39</v>
      </c>
      <c r="C36" s="24">
        <v>19550.650000000001</v>
      </c>
      <c r="D36" s="59"/>
      <c r="E36" s="25">
        <f t="shared" si="3"/>
        <v>97.800000000000011</v>
      </c>
      <c r="F36" s="114"/>
      <c r="G36" s="110">
        <f t="shared" si="4"/>
        <v>1637.37</v>
      </c>
      <c r="H36" s="111">
        <f>+G36+E36+C36</f>
        <v>21285.82</v>
      </c>
      <c r="I36" s="26">
        <f t="shared" si="0"/>
        <v>4993.6533719999998</v>
      </c>
      <c r="J36" s="26">
        <f t="shared" si="1"/>
        <v>1577.279262</v>
      </c>
      <c r="K36" s="26">
        <f>H36*8.5%</f>
        <v>1809.2947000000001</v>
      </c>
      <c r="L36" s="27">
        <f t="shared" si="6"/>
        <v>29666.047333999999</v>
      </c>
      <c r="M36" s="133"/>
      <c r="N36" s="106">
        <f t="shared" si="7"/>
        <v>0</v>
      </c>
      <c r="R36" s="32"/>
    </row>
    <row r="37" spans="1:18" ht="18.75" customHeight="1" x14ac:dyDescent="0.3">
      <c r="A37" s="269"/>
      <c r="B37" s="31" t="s">
        <v>40</v>
      </c>
      <c r="C37" s="24">
        <v>18864.71</v>
      </c>
      <c r="D37" s="59"/>
      <c r="E37" s="25">
        <f t="shared" si="3"/>
        <v>94.320000000000007</v>
      </c>
      <c r="F37" s="114"/>
      <c r="G37" s="110">
        <f t="shared" si="4"/>
        <v>1579.92</v>
      </c>
      <c r="H37" s="111">
        <f>+G37+E37+C37</f>
        <v>20538.95</v>
      </c>
      <c r="I37" s="26">
        <f t="shared" si="0"/>
        <v>4818.4376700000003</v>
      </c>
      <c r="J37" s="26">
        <f t="shared" si="1"/>
        <v>1521.936195</v>
      </c>
      <c r="K37" s="26">
        <f>H37*8.5%</f>
        <v>1745.8107500000001</v>
      </c>
      <c r="L37" s="27">
        <f t="shared" si="6"/>
        <v>28625.134614999999</v>
      </c>
      <c r="M37" s="134"/>
      <c r="N37" s="106">
        <f t="shared" si="7"/>
        <v>0</v>
      </c>
    </row>
    <row r="38" spans="1:18" ht="18.75" customHeight="1" x14ac:dyDescent="0.3">
      <c r="A38" s="269"/>
      <c r="B38" s="31" t="s">
        <v>41</v>
      </c>
      <c r="C38" s="24">
        <v>18243.61</v>
      </c>
      <c r="D38" s="59"/>
      <c r="E38" s="25">
        <f t="shared" si="3"/>
        <v>91.199999999999989</v>
      </c>
      <c r="F38" s="114"/>
      <c r="G38" s="110">
        <f t="shared" si="4"/>
        <v>1527.9</v>
      </c>
      <c r="H38" s="111">
        <f>+G38+E38+C38</f>
        <v>19862.71</v>
      </c>
      <c r="I38" s="26">
        <f t="shared" si="0"/>
        <v>4659.7917660000003</v>
      </c>
      <c r="J38" s="26">
        <f t="shared" si="1"/>
        <v>1471.8268109999999</v>
      </c>
      <c r="K38" s="26">
        <f>H38*8.5%</f>
        <v>1688.33035</v>
      </c>
      <c r="L38" s="27">
        <f t="shared" si="6"/>
        <v>27682.658927</v>
      </c>
      <c r="M38" s="135">
        <v>6</v>
      </c>
      <c r="N38" s="106">
        <f t="shared" si="7"/>
        <v>166095.95356200001</v>
      </c>
    </row>
    <row r="39" spans="1:18" ht="18.600000000000001" customHeight="1" x14ac:dyDescent="0.3">
      <c r="A39" s="121"/>
      <c r="B39" s="69"/>
      <c r="C39" s="61"/>
      <c r="D39" s="60"/>
      <c r="E39" s="63"/>
      <c r="F39" s="63"/>
      <c r="G39" s="61"/>
      <c r="H39" s="117"/>
      <c r="I39" s="60"/>
      <c r="J39" s="60"/>
      <c r="K39" s="60"/>
      <c r="L39" s="67"/>
      <c r="M39" s="67"/>
      <c r="N39" s="67"/>
    </row>
    <row r="40" spans="1:18" ht="18" customHeight="1" x14ac:dyDescent="0.3">
      <c r="A40" s="35"/>
      <c r="B40" s="35"/>
      <c r="C40" s="35"/>
      <c r="D40" s="35"/>
      <c r="E40" s="52"/>
      <c r="F40" s="52"/>
      <c r="G40" s="35"/>
      <c r="H40" s="35"/>
      <c r="I40" s="35"/>
      <c r="J40" s="35"/>
      <c r="K40" s="52"/>
      <c r="L40" s="22" t="s">
        <v>44</v>
      </c>
      <c r="M40" s="166">
        <f>+SUM(M10:M38)</f>
        <v>130</v>
      </c>
      <c r="N40" s="125">
        <f>+SUM(N10:N38)</f>
        <v>5157406.5708550001</v>
      </c>
    </row>
    <row r="43" spans="1:18" x14ac:dyDescent="0.3">
      <c r="A43" s="35" t="s">
        <v>45</v>
      </c>
      <c r="E43" s="29"/>
      <c r="F43" s="29"/>
    </row>
    <row r="44" spans="1:18" x14ac:dyDescent="0.3">
      <c r="A44" s="35" t="s">
        <v>46</v>
      </c>
      <c r="E44" s="29"/>
      <c r="F44" s="29"/>
    </row>
    <row r="45" spans="1:18" x14ac:dyDescent="0.3">
      <c r="A45" s="35" t="s">
        <v>47</v>
      </c>
      <c r="E45" s="29"/>
      <c r="F45" s="29"/>
    </row>
    <row r="46" spans="1:18" x14ac:dyDescent="0.3">
      <c r="A46" s="35" t="s">
        <v>48</v>
      </c>
    </row>
    <row r="47" spans="1:18" x14ac:dyDescent="0.3">
      <c r="A47" s="35"/>
    </row>
    <row r="48" spans="1:18" x14ac:dyDescent="0.3">
      <c r="A48" s="35" t="s">
        <v>49</v>
      </c>
    </row>
  </sheetData>
  <sheetProtection selectLockedCells="1" selectUnlockedCells="1"/>
  <mergeCells count="38">
    <mergeCell ref="A13:A16"/>
    <mergeCell ref="B13:B16"/>
    <mergeCell ref="C13:C16"/>
    <mergeCell ref="A36:A38"/>
    <mergeCell ref="A21:A27"/>
    <mergeCell ref="A29:A34"/>
    <mergeCell ref="A17:A20"/>
    <mergeCell ref="N13:N16"/>
    <mergeCell ref="K13:K16"/>
    <mergeCell ref="H13:H16"/>
    <mergeCell ref="I13:I16"/>
    <mergeCell ref="J13:J16"/>
    <mergeCell ref="L13:L16"/>
    <mergeCell ref="M13:M16"/>
    <mergeCell ref="M1:N1"/>
    <mergeCell ref="H2:K2"/>
    <mergeCell ref="I3:J3"/>
    <mergeCell ref="A5:N5"/>
    <mergeCell ref="L6:L9"/>
    <mergeCell ref="E6:E9"/>
    <mergeCell ref="J6:J9"/>
    <mergeCell ref="K6:K9"/>
    <mergeCell ref="N6:N9"/>
    <mergeCell ref="G6:G9"/>
    <mergeCell ref="H1:K1"/>
    <mergeCell ref="M6:M9"/>
    <mergeCell ref="H6:H9"/>
    <mergeCell ref="I6:I9"/>
    <mergeCell ref="A6:A11"/>
    <mergeCell ref="A1:B1"/>
    <mergeCell ref="G13:G16"/>
    <mergeCell ref="F13:F16"/>
    <mergeCell ref="B6:B9"/>
    <mergeCell ref="C6:C9"/>
    <mergeCell ref="F6:F9"/>
    <mergeCell ref="E13:E16"/>
    <mergeCell ref="D6:D9"/>
    <mergeCell ref="D13:D16"/>
  </mergeCells>
  <phoneticPr fontId="3" type="noConversion"/>
  <hyperlinks>
    <hyperlink ref="D3" r:id="rId1" xr:uid="{00000000-0004-0000-0000-000000000000}"/>
  </hyperlinks>
  <pageMargins left="0.2902777777777778" right="0.1701388888888889" top="0.35" bottom="0.45" header="0.51180555555555551" footer="0.51180555555555551"/>
  <pageSetup paperSize="9" scale="78" firstPageNumber="0" orientation="landscape"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9"/>
  <sheetViews>
    <sheetView zoomScale="80" zoomScaleNormal="80" workbookViewId="0">
      <selection activeCell="E25" sqref="E25:G27"/>
    </sheetView>
  </sheetViews>
  <sheetFormatPr defaultRowHeight="13.2" x14ac:dyDescent="0.25"/>
  <cols>
    <col min="3" max="3" width="9.21875" customWidth="1"/>
    <col min="4" max="4" width="4.5546875" customWidth="1"/>
    <col min="5" max="5" width="10.21875" customWidth="1"/>
    <col min="6" max="6" width="8.21875" customWidth="1"/>
    <col min="7" max="7" width="6.44140625" customWidth="1"/>
  </cols>
  <sheetData>
    <row r="1" spans="1:9" ht="13.8" thickBot="1" x14ac:dyDescent="0.3">
      <c r="H1" s="349"/>
      <c r="I1" s="349"/>
    </row>
    <row r="2" spans="1:9" ht="12.75" customHeight="1" x14ac:dyDescent="0.25">
      <c r="A2" s="3" t="s">
        <v>128</v>
      </c>
      <c r="B2" s="4"/>
      <c r="C2" s="4"/>
      <c r="D2" s="4"/>
      <c r="E2" s="1"/>
      <c r="H2" s="350"/>
      <c r="I2" s="350"/>
    </row>
    <row r="3" spans="1:9" ht="13.5" customHeight="1" thickBot="1" x14ac:dyDescent="0.3">
      <c r="A3" s="5"/>
      <c r="B3" s="6"/>
      <c r="C3" s="6"/>
      <c r="D3" s="6"/>
      <c r="E3" s="2"/>
      <c r="H3" s="351">
        <v>2023</v>
      </c>
      <c r="I3" s="351" t="s">
        <v>129</v>
      </c>
    </row>
    <row r="6" spans="1:9" ht="13.8" thickBot="1" x14ac:dyDescent="0.3"/>
    <row r="7" spans="1:9" ht="12.75" customHeight="1" x14ac:dyDescent="0.25">
      <c r="A7" s="346" t="s">
        <v>130</v>
      </c>
      <c r="B7" s="347"/>
      <c r="C7" s="348"/>
      <c r="D7" s="327" t="s">
        <v>131</v>
      </c>
      <c r="E7" s="339">
        <f>'Tab. 2  presenti in servizio'!$O$40</f>
        <v>3591060.8126470004</v>
      </c>
      <c r="F7" s="339"/>
      <c r="G7" s="339"/>
    </row>
    <row r="8" spans="1:9" ht="12.75" customHeight="1" x14ac:dyDescent="0.25">
      <c r="A8" s="340"/>
      <c r="B8" s="341"/>
      <c r="C8" s="342"/>
      <c r="D8" s="328"/>
      <c r="E8" s="339"/>
      <c r="F8" s="339"/>
      <c r="G8" s="339"/>
    </row>
    <row r="9" spans="1:9" ht="27" customHeight="1" thickBot="1" x14ac:dyDescent="0.3">
      <c r="A9" s="343"/>
      <c r="B9" s="344"/>
      <c r="C9" s="345"/>
      <c r="D9" s="329"/>
      <c r="E9" s="339"/>
      <c r="F9" s="339"/>
      <c r="G9" s="339"/>
    </row>
    <row r="10" spans="1:9" ht="12.6" customHeight="1" x14ac:dyDescent="0.25">
      <c r="A10" s="340" t="s">
        <v>132</v>
      </c>
      <c r="B10" s="341"/>
      <c r="C10" s="342"/>
      <c r="D10" s="327" t="s">
        <v>133</v>
      </c>
      <c r="E10" s="339">
        <f>'Tab. 5 Comandati out'!$N$40</f>
        <v>249588.36733600002</v>
      </c>
      <c r="F10" s="339"/>
      <c r="G10" s="339"/>
    </row>
    <row r="11" spans="1:9" ht="15.6" customHeight="1" x14ac:dyDescent="0.25">
      <c r="A11" s="340"/>
      <c r="B11" s="341"/>
      <c r="C11" s="342"/>
      <c r="D11" s="328"/>
      <c r="E11" s="339"/>
      <c r="F11" s="339"/>
      <c r="G11" s="339"/>
    </row>
    <row r="12" spans="1:9" ht="13.2" customHeight="1" thickBot="1" x14ac:dyDescent="0.3">
      <c r="A12" s="343"/>
      <c r="B12" s="344"/>
      <c r="C12" s="345"/>
      <c r="D12" s="329"/>
      <c r="E12" s="339"/>
      <c r="F12" s="339"/>
      <c r="G12" s="339"/>
    </row>
    <row r="13" spans="1:9" ht="12.6" customHeight="1" x14ac:dyDescent="0.25">
      <c r="A13" s="330" t="s">
        <v>134</v>
      </c>
      <c r="B13" s="331"/>
      <c r="C13" s="332"/>
      <c r="D13" s="327" t="s">
        <v>135</v>
      </c>
      <c r="E13" s="339">
        <f>'Tab. 3.2  Cessati anno 2023'!$N$42</f>
        <v>253970.92667099999</v>
      </c>
      <c r="F13" s="339"/>
      <c r="G13" s="339"/>
    </row>
    <row r="14" spans="1:9" ht="12.6" customHeight="1" x14ac:dyDescent="0.25">
      <c r="A14" s="333"/>
      <c r="B14" s="334"/>
      <c r="C14" s="335"/>
      <c r="D14" s="328"/>
      <c r="E14" s="339"/>
      <c r="F14" s="339"/>
      <c r="G14" s="339"/>
    </row>
    <row r="15" spans="1:9" ht="19.5" customHeight="1" thickBot="1" x14ac:dyDescent="0.3">
      <c r="A15" s="336"/>
      <c r="B15" s="337"/>
      <c r="C15" s="338"/>
      <c r="D15" s="329"/>
      <c r="E15" s="339"/>
      <c r="F15" s="339"/>
      <c r="G15" s="339"/>
    </row>
    <row r="16" spans="1:9" ht="12.75" customHeight="1" x14ac:dyDescent="0.25">
      <c r="A16" s="330" t="s">
        <v>136</v>
      </c>
      <c r="B16" s="331"/>
      <c r="C16" s="332"/>
      <c r="D16" s="327" t="s">
        <v>133</v>
      </c>
      <c r="E16" s="339">
        <f>'Tab. 4.1 Assunzioni anno 2023'!$P$45</f>
        <v>253111.25069999998</v>
      </c>
      <c r="F16" s="339"/>
      <c r="G16" s="339"/>
    </row>
    <row r="17" spans="1:7" ht="12.75" customHeight="1" x14ac:dyDescent="0.25">
      <c r="A17" s="333"/>
      <c r="B17" s="334"/>
      <c r="C17" s="335"/>
      <c r="D17" s="328"/>
      <c r="E17" s="339"/>
      <c r="F17" s="339"/>
      <c r="G17" s="339"/>
    </row>
    <row r="18" spans="1:7" ht="18.600000000000001" customHeight="1" thickBot="1" x14ac:dyDescent="0.3">
      <c r="A18" s="336"/>
      <c r="B18" s="337"/>
      <c r="C18" s="338"/>
      <c r="D18" s="329"/>
      <c r="E18" s="339"/>
      <c r="F18" s="339"/>
      <c r="G18" s="339"/>
    </row>
    <row r="19" spans="1:7" ht="12.6" customHeight="1" x14ac:dyDescent="0.25">
      <c r="A19" s="330" t="s">
        <v>137</v>
      </c>
      <c r="B19" s="331"/>
      <c r="C19" s="332"/>
      <c r="D19" s="327" t="s">
        <v>133</v>
      </c>
      <c r="E19" s="339">
        <f>'Tab. 4.1 Assunzioni anno 2023'!$P$46</f>
        <v>322240.27589600004</v>
      </c>
      <c r="F19" s="339"/>
      <c r="G19" s="339"/>
    </row>
    <row r="20" spans="1:7" ht="12.6" customHeight="1" x14ac:dyDescent="0.25">
      <c r="A20" s="333"/>
      <c r="B20" s="334"/>
      <c r="C20" s="335"/>
      <c r="D20" s="328"/>
      <c r="E20" s="339"/>
      <c r="F20" s="339"/>
      <c r="G20" s="339"/>
    </row>
    <row r="21" spans="1:7" ht="18.75" customHeight="1" thickBot="1" x14ac:dyDescent="0.3">
      <c r="A21" s="336"/>
      <c r="B21" s="337"/>
      <c r="C21" s="338"/>
      <c r="D21" s="329"/>
      <c r="E21" s="339"/>
      <c r="F21" s="339"/>
      <c r="G21" s="339"/>
    </row>
    <row r="22" spans="1:7" ht="13.2" customHeight="1" x14ac:dyDescent="0.25">
      <c r="A22" s="330" t="s">
        <v>138</v>
      </c>
      <c r="B22" s="331"/>
      <c r="C22" s="332"/>
      <c r="D22" s="327" t="s">
        <v>133</v>
      </c>
      <c r="E22" s="339">
        <f>'Tab. 4.1 Assunzioni anno 2023'!$P$47</f>
        <v>353549.07742000005</v>
      </c>
      <c r="F22" s="339"/>
      <c r="G22" s="339"/>
    </row>
    <row r="23" spans="1:7" ht="13.2" customHeight="1" x14ac:dyDescent="0.25">
      <c r="A23" s="333"/>
      <c r="B23" s="334"/>
      <c r="C23" s="335"/>
      <c r="D23" s="328"/>
      <c r="E23" s="339"/>
      <c r="F23" s="339"/>
      <c r="G23" s="339"/>
    </row>
    <row r="24" spans="1:7" ht="22.5" customHeight="1" thickBot="1" x14ac:dyDescent="0.3">
      <c r="A24" s="336"/>
      <c r="B24" s="337"/>
      <c r="C24" s="338"/>
      <c r="D24" s="329"/>
      <c r="E24" s="339"/>
      <c r="F24" s="339"/>
      <c r="G24" s="339"/>
    </row>
    <row r="25" spans="1:7" ht="12.6" customHeight="1" x14ac:dyDescent="0.25">
      <c r="A25" s="353" t="s">
        <v>44</v>
      </c>
      <c r="B25" s="354"/>
      <c r="C25" s="355"/>
      <c r="D25" s="327"/>
      <c r="E25" s="339">
        <f>+E7+E10-E13+E16+E19+E22</f>
        <v>4515578.8573280005</v>
      </c>
      <c r="F25" s="339"/>
      <c r="G25" s="339"/>
    </row>
    <row r="26" spans="1:7" ht="12.6" customHeight="1" x14ac:dyDescent="0.25">
      <c r="A26" s="356"/>
      <c r="B26" s="357"/>
      <c r="C26" s="358"/>
      <c r="D26" s="328"/>
      <c r="E26" s="339"/>
      <c r="F26" s="339"/>
      <c r="G26" s="339"/>
    </row>
    <row r="27" spans="1:7" ht="13.2" customHeight="1" thickBot="1" x14ac:dyDescent="0.3">
      <c r="A27" s="359"/>
      <c r="B27" s="360"/>
      <c r="C27" s="361"/>
      <c r="D27" s="329"/>
      <c r="E27" s="339"/>
      <c r="F27" s="339"/>
      <c r="G27" s="339"/>
    </row>
    <row r="28" spans="1:7" ht="13.2" customHeight="1" x14ac:dyDescent="0.45">
      <c r="A28" s="15"/>
      <c r="B28" s="16"/>
      <c r="C28" s="17"/>
      <c r="D28" s="18"/>
      <c r="E28" s="339" t="s">
        <v>139</v>
      </c>
      <c r="F28" s="339"/>
      <c r="G28" s="339"/>
    </row>
    <row r="29" spans="1:7" ht="13.2" customHeight="1" x14ac:dyDescent="0.45">
      <c r="A29" s="15"/>
      <c r="B29" s="16"/>
      <c r="C29" s="17"/>
      <c r="D29" s="18"/>
      <c r="E29" s="339"/>
      <c r="F29" s="339"/>
      <c r="G29" s="339"/>
    </row>
    <row r="30" spans="1:7" ht="13.2" customHeight="1" thickBot="1" x14ac:dyDescent="0.5">
      <c r="A30" s="15"/>
      <c r="B30" s="16"/>
      <c r="C30" s="17"/>
      <c r="D30" s="18"/>
      <c r="E30" s="339"/>
      <c r="F30" s="339"/>
      <c r="G30" s="339"/>
    </row>
    <row r="31" spans="1:7" ht="12.6" customHeight="1" x14ac:dyDescent="0.25">
      <c r="A31" s="352" t="s">
        <v>140</v>
      </c>
      <c r="B31" s="352"/>
      <c r="C31" s="352"/>
      <c r="D31" s="331"/>
      <c r="E31" s="339">
        <f>'Tab.1 valore finanziario D.O.'!$N$40</f>
        <v>5157406.5708550001</v>
      </c>
      <c r="F31" s="339"/>
      <c r="G31" s="339"/>
    </row>
    <row r="32" spans="1:7" ht="12.6" customHeight="1" x14ac:dyDescent="0.25">
      <c r="A32" s="352"/>
      <c r="B32" s="352"/>
      <c r="C32" s="352"/>
      <c r="D32" s="334"/>
      <c r="E32" s="339"/>
      <c r="F32" s="339"/>
      <c r="G32" s="339"/>
    </row>
    <row r="33" spans="1:7" ht="18.75" customHeight="1" thickBot="1" x14ac:dyDescent="0.3">
      <c r="A33" s="352"/>
      <c r="B33" s="352"/>
      <c r="C33" s="352"/>
      <c r="D33" s="337"/>
      <c r="E33" s="339"/>
      <c r="F33" s="339"/>
      <c r="G33" s="339"/>
    </row>
    <row r="36" spans="1:7" x14ac:dyDescent="0.25">
      <c r="A36" t="s">
        <v>141</v>
      </c>
    </row>
    <row r="38" spans="1:7" x14ac:dyDescent="0.25">
      <c r="A38" t="s">
        <v>142</v>
      </c>
    </row>
    <row r="39" spans="1:7" x14ac:dyDescent="0.25">
      <c r="A39" t="s">
        <v>143</v>
      </c>
    </row>
  </sheetData>
  <mergeCells count="28">
    <mergeCell ref="D25:D27"/>
    <mergeCell ref="D31:D33"/>
    <mergeCell ref="E28:G30"/>
    <mergeCell ref="A31:C33"/>
    <mergeCell ref="E31:G33"/>
    <mergeCell ref="E25:G27"/>
    <mergeCell ref="A25:C27"/>
    <mergeCell ref="H1:I1"/>
    <mergeCell ref="H2:I2"/>
    <mergeCell ref="H3:I3"/>
    <mergeCell ref="E10:G12"/>
    <mergeCell ref="E7:G9"/>
    <mergeCell ref="E13:G15"/>
    <mergeCell ref="A10:C12"/>
    <mergeCell ref="A7:C9"/>
    <mergeCell ref="D7:D9"/>
    <mergeCell ref="D10:D12"/>
    <mergeCell ref="D13:D15"/>
    <mergeCell ref="A13:C15"/>
    <mergeCell ref="D16:D18"/>
    <mergeCell ref="A19:C21"/>
    <mergeCell ref="D22:D24"/>
    <mergeCell ref="E22:G24"/>
    <mergeCell ref="E16:G18"/>
    <mergeCell ref="A16:C18"/>
    <mergeCell ref="D19:D21"/>
    <mergeCell ref="A22:C24"/>
    <mergeCell ref="E19:G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S69"/>
  <sheetViews>
    <sheetView zoomScale="80" zoomScaleNormal="80" workbookViewId="0">
      <selection activeCell="A12" sqref="A12:XFD15"/>
    </sheetView>
  </sheetViews>
  <sheetFormatPr defaultColWidth="8.5546875" defaultRowHeight="15.6" x14ac:dyDescent="0.3"/>
  <cols>
    <col min="1" max="1" width="19" style="29" customWidth="1"/>
    <col min="2" max="2" width="24.5546875" style="29" customWidth="1"/>
    <col min="3" max="3" width="19.5546875" style="29" customWidth="1"/>
    <col min="4" max="4" width="25.77734375" style="29" customWidth="1"/>
    <col min="5" max="5" width="14.44140625" style="29" customWidth="1"/>
    <col min="6" max="6" width="16.21875" style="29" customWidth="1"/>
    <col min="7" max="7" width="12.77734375" style="29" customWidth="1"/>
    <col min="8" max="8" width="14" style="29" customWidth="1"/>
    <col min="9" max="9" width="15.77734375" style="29" customWidth="1"/>
    <col min="10" max="10" width="11.77734375" style="29" customWidth="1"/>
    <col min="11" max="11" width="10.77734375" style="29" customWidth="1"/>
    <col min="12" max="12" width="13.77734375" style="29" bestFit="1" customWidth="1"/>
    <col min="13" max="13" width="13.5546875" style="29" customWidth="1"/>
    <col min="14" max="14" width="12.5546875" style="29" customWidth="1"/>
    <col min="15" max="16" width="17.5546875" style="29" customWidth="1"/>
    <col min="17" max="17" width="12" style="29" customWidth="1"/>
    <col min="18" max="18" width="8.5546875" style="29"/>
    <col min="19" max="19" width="12" style="29" customWidth="1"/>
    <col min="20" max="20" width="11.44140625" style="29" customWidth="1"/>
    <col min="21" max="22" width="12" style="29" customWidth="1"/>
    <col min="23" max="16384" width="8.5546875" style="29"/>
  </cols>
  <sheetData>
    <row r="1" spans="1:19" ht="16.2" x14ac:dyDescent="0.35">
      <c r="A1" s="284" t="s">
        <v>0</v>
      </c>
      <c r="B1" s="285"/>
      <c r="C1" s="176" t="s">
        <v>1</v>
      </c>
      <c r="D1" s="177"/>
      <c r="E1" s="36"/>
      <c r="F1" s="35"/>
      <c r="G1" s="35"/>
      <c r="H1" s="35"/>
      <c r="I1" s="259" t="s">
        <v>50</v>
      </c>
      <c r="J1" s="260"/>
      <c r="K1" s="260"/>
      <c r="L1" s="261"/>
      <c r="M1" s="35"/>
      <c r="N1" s="276"/>
      <c r="O1" s="276"/>
      <c r="P1" s="276"/>
    </row>
    <row r="2" spans="1:19" x14ac:dyDescent="0.3">
      <c r="A2" s="178" t="s">
        <v>3</v>
      </c>
      <c r="B2" s="179"/>
      <c r="C2" s="176"/>
      <c r="D2" s="177"/>
      <c r="E2" s="36"/>
      <c r="F2" s="35"/>
      <c r="G2" s="35"/>
      <c r="H2" s="37"/>
      <c r="I2" s="289" t="s">
        <v>4</v>
      </c>
      <c r="J2" s="290"/>
      <c r="K2" s="290"/>
      <c r="L2" s="291"/>
      <c r="M2" s="35"/>
      <c r="N2" s="35"/>
      <c r="O2" s="35"/>
      <c r="P2" s="35"/>
    </row>
    <row r="3" spans="1:19" ht="31.8" thickBot="1" x14ac:dyDescent="0.35">
      <c r="A3" s="178" t="s">
        <v>5</v>
      </c>
      <c r="B3" s="178" t="s">
        <v>6</v>
      </c>
      <c r="C3" s="178" t="s">
        <v>7</v>
      </c>
      <c r="D3" s="190" t="s">
        <v>8</v>
      </c>
      <c r="E3" s="36"/>
      <c r="F3" s="35"/>
      <c r="G3" s="35"/>
      <c r="H3" s="35"/>
      <c r="I3" s="292"/>
      <c r="J3" s="293"/>
      <c r="K3" s="293"/>
      <c r="L3" s="294"/>
      <c r="M3" s="35"/>
      <c r="N3" s="35"/>
      <c r="O3" s="35"/>
      <c r="P3" s="35"/>
    </row>
    <row r="4" spans="1:19" ht="16.5" customHeight="1" x14ac:dyDescent="0.3">
      <c r="A4" s="38"/>
      <c r="B4" s="38"/>
      <c r="C4" s="38"/>
      <c r="D4" s="38"/>
      <c r="E4" s="38"/>
      <c r="F4" s="38"/>
      <c r="G4" s="38"/>
      <c r="H4" s="38"/>
      <c r="I4" s="38"/>
      <c r="J4" s="38"/>
      <c r="K4" s="38"/>
      <c r="L4" s="38"/>
      <c r="M4" s="39"/>
      <c r="N4" s="39"/>
      <c r="O4" s="39"/>
      <c r="P4" s="39"/>
    </row>
    <row r="5" spans="1:19" ht="19.5" customHeight="1" x14ac:dyDescent="0.3">
      <c r="A5" s="277" t="s">
        <v>51</v>
      </c>
      <c r="B5" s="277"/>
      <c r="C5" s="277"/>
      <c r="D5" s="277"/>
      <c r="E5" s="277"/>
      <c r="F5" s="277"/>
      <c r="G5" s="277"/>
      <c r="H5" s="277"/>
      <c r="I5" s="277"/>
      <c r="J5" s="277"/>
      <c r="K5" s="277"/>
      <c r="L5" s="277"/>
      <c r="M5" s="277"/>
      <c r="N5" s="277"/>
      <c r="O5" s="277"/>
      <c r="P5" s="277"/>
    </row>
    <row r="6" spans="1:19" ht="15" customHeight="1" x14ac:dyDescent="0.3">
      <c r="A6" s="268" t="s">
        <v>10</v>
      </c>
      <c r="B6" s="241" t="s">
        <v>11</v>
      </c>
      <c r="C6" s="241" t="s">
        <v>12</v>
      </c>
      <c r="D6" s="241" t="s">
        <v>13</v>
      </c>
      <c r="E6" s="241" t="s">
        <v>14</v>
      </c>
      <c r="F6" s="241" t="s">
        <v>15</v>
      </c>
      <c r="G6" s="241" t="s">
        <v>16</v>
      </c>
      <c r="H6" s="265" t="s">
        <v>17</v>
      </c>
      <c r="I6" s="241" t="s">
        <v>18</v>
      </c>
      <c r="J6" s="241" t="s">
        <v>19</v>
      </c>
      <c r="K6" s="241" t="s">
        <v>20</v>
      </c>
      <c r="L6" s="253" t="s">
        <v>21</v>
      </c>
      <c r="M6" s="262" t="s">
        <v>52</v>
      </c>
      <c r="N6" s="262" t="s">
        <v>53</v>
      </c>
      <c r="O6" s="256" t="s">
        <v>54</v>
      </c>
    </row>
    <row r="7" spans="1:19" ht="15" customHeight="1" x14ac:dyDescent="0.3">
      <c r="A7" s="269"/>
      <c r="B7" s="242"/>
      <c r="C7" s="242"/>
      <c r="D7" s="242"/>
      <c r="E7" s="242"/>
      <c r="F7" s="242"/>
      <c r="G7" s="242"/>
      <c r="H7" s="266"/>
      <c r="I7" s="242"/>
      <c r="J7" s="242"/>
      <c r="K7" s="242"/>
      <c r="L7" s="254"/>
      <c r="M7" s="263"/>
      <c r="N7" s="263"/>
      <c r="O7" s="257"/>
    </row>
    <row r="8" spans="1:19" ht="15" customHeight="1" x14ac:dyDescent="0.3">
      <c r="A8" s="269"/>
      <c r="B8" s="242"/>
      <c r="C8" s="242"/>
      <c r="D8" s="242"/>
      <c r="E8" s="242"/>
      <c r="F8" s="242"/>
      <c r="G8" s="242"/>
      <c r="H8" s="266"/>
      <c r="I8" s="242"/>
      <c r="J8" s="242"/>
      <c r="K8" s="242"/>
      <c r="L8" s="254"/>
      <c r="M8" s="263"/>
      <c r="N8" s="263"/>
      <c r="O8" s="257"/>
    </row>
    <row r="9" spans="1:19" ht="15" customHeight="1" x14ac:dyDescent="0.3">
      <c r="A9" s="269"/>
      <c r="B9" s="243"/>
      <c r="C9" s="242"/>
      <c r="D9" s="243"/>
      <c r="E9" s="243"/>
      <c r="F9" s="243"/>
      <c r="G9" s="243"/>
      <c r="H9" s="267"/>
      <c r="I9" s="243"/>
      <c r="J9" s="243"/>
      <c r="K9" s="243"/>
      <c r="L9" s="255"/>
      <c r="M9" s="264"/>
      <c r="N9" s="264"/>
      <c r="O9" s="258"/>
      <c r="Q9" s="33"/>
    </row>
    <row r="10" spans="1:19" ht="18" customHeight="1" x14ac:dyDescent="0.3">
      <c r="A10" s="269"/>
      <c r="B10" s="236" t="s">
        <v>144</v>
      </c>
      <c r="C10" s="229">
        <f>4623.3*12</f>
        <v>55479.600000000006</v>
      </c>
      <c r="D10" s="230"/>
      <c r="E10" s="231">
        <f>23.12*12</f>
        <v>277.44</v>
      </c>
      <c r="F10" s="231"/>
      <c r="G10" s="232">
        <f>(C10+E10)/12</f>
        <v>4646.420000000001</v>
      </c>
      <c r="H10" s="233">
        <f>SUM(C10:G10)</f>
        <v>60403.460000000006</v>
      </c>
      <c r="I10" s="232">
        <f>H10*23.46%</f>
        <v>14170.651716000002</v>
      </c>
      <c r="J10" s="232">
        <f>H10*7.41%</f>
        <v>4475.8963860000003</v>
      </c>
      <c r="K10" s="232">
        <f>H10*8.5%</f>
        <v>5134.294100000001</v>
      </c>
      <c r="L10" s="237">
        <f>SUM(H10:K10)</f>
        <v>84184.302202000021</v>
      </c>
      <c r="M10" s="11"/>
      <c r="N10" s="11"/>
      <c r="O10" s="106">
        <f>+(M10+N10)*L10</f>
        <v>0</v>
      </c>
      <c r="Q10" s="33"/>
    </row>
    <row r="11" spans="1:19" ht="18" customHeight="1" x14ac:dyDescent="0.3">
      <c r="A11" s="270"/>
      <c r="B11" s="236" t="s">
        <v>145</v>
      </c>
      <c r="C11" s="229">
        <f>3616.6*12</f>
        <v>43399.199999999997</v>
      </c>
      <c r="D11" s="234"/>
      <c r="E11" s="235">
        <f>18.08*12</f>
        <v>216.95999999999998</v>
      </c>
      <c r="F11" s="235"/>
      <c r="G11" s="232">
        <f>(C11+E11)/12</f>
        <v>3634.68</v>
      </c>
      <c r="H11" s="233">
        <f>SUM(C11:G11)</f>
        <v>47250.84</v>
      </c>
      <c r="I11" s="232">
        <f>H11*23.46%</f>
        <v>11085.047063999998</v>
      </c>
      <c r="J11" s="232">
        <f>H11*7.41%</f>
        <v>3501.2872439999996</v>
      </c>
      <c r="K11" s="232">
        <f>H11*8.5%</f>
        <v>4016.3213999999998</v>
      </c>
      <c r="L11" s="237">
        <f>SUM(H11:K11)</f>
        <v>65853.495707999988</v>
      </c>
      <c r="M11" s="14">
        <v>5</v>
      </c>
      <c r="N11" s="14"/>
      <c r="O11" s="106">
        <f>+(M11+N11)*L11</f>
        <v>329267.47853999992</v>
      </c>
      <c r="Q11" s="34"/>
      <c r="S11" s="30"/>
    </row>
    <row r="12" spans="1:19" ht="14.25" customHeight="1" x14ac:dyDescent="0.3">
      <c r="A12" s="40"/>
      <c r="B12" s="41"/>
      <c r="C12" s="42"/>
      <c r="D12" s="43"/>
      <c r="E12" s="43"/>
      <c r="F12" s="43"/>
      <c r="G12" s="43"/>
      <c r="H12" s="43"/>
      <c r="I12" s="43"/>
      <c r="J12" s="43"/>
      <c r="K12" s="43"/>
      <c r="L12" s="43"/>
      <c r="M12" s="44"/>
      <c r="N12" s="44"/>
      <c r="O12" s="43"/>
      <c r="Q12" s="34"/>
      <c r="R12" s="30"/>
      <c r="S12" s="30"/>
    </row>
    <row r="13" spans="1:19" ht="15" customHeight="1" x14ac:dyDescent="0.3">
      <c r="A13" s="268" t="s">
        <v>26</v>
      </c>
      <c r="B13" s="286" t="s">
        <v>27</v>
      </c>
      <c r="C13" s="241" t="s">
        <v>28</v>
      </c>
      <c r="D13" s="244"/>
      <c r="E13" s="241" t="s">
        <v>14</v>
      </c>
      <c r="F13" s="241" t="s">
        <v>15</v>
      </c>
      <c r="G13" s="241" t="s">
        <v>16</v>
      </c>
      <c r="H13" s="265" t="s">
        <v>17</v>
      </c>
      <c r="I13" s="241" t="s">
        <v>18</v>
      </c>
      <c r="J13" s="241" t="s">
        <v>19</v>
      </c>
      <c r="K13" s="241" t="s">
        <v>20</v>
      </c>
      <c r="L13" s="282" t="s">
        <v>21</v>
      </c>
      <c r="M13" s="278" t="s">
        <v>55</v>
      </c>
      <c r="N13" s="279" t="s">
        <v>56</v>
      </c>
      <c r="O13" s="283" t="s">
        <v>54</v>
      </c>
      <c r="Q13" s="34"/>
      <c r="R13" s="30"/>
      <c r="S13" s="30"/>
    </row>
    <row r="14" spans="1:19" ht="15" customHeight="1" x14ac:dyDescent="0.3">
      <c r="A14" s="269"/>
      <c r="B14" s="287"/>
      <c r="C14" s="242"/>
      <c r="D14" s="245"/>
      <c r="E14" s="242"/>
      <c r="F14" s="242"/>
      <c r="G14" s="242"/>
      <c r="H14" s="266"/>
      <c r="I14" s="242"/>
      <c r="J14" s="242"/>
      <c r="K14" s="242"/>
      <c r="L14" s="282"/>
      <c r="M14" s="278"/>
      <c r="N14" s="280"/>
      <c r="O14" s="283"/>
      <c r="R14" s="30"/>
      <c r="S14" s="30"/>
    </row>
    <row r="15" spans="1:19" ht="15" customHeight="1" x14ac:dyDescent="0.3">
      <c r="A15" s="269"/>
      <c r="B15" s="287"/>
      <c r="C15" s="242"/>
      <c r="D15" s="245"/>
      <c r="E15" s="242"/>
      <c r="F15" s="242"/>
      <c r="G15" s="242"/>
      <c r="H15" s="266"/>
      <c r="I15" s="242"/>
      <c r="J15" s="242"/>
      <c r="K15" s="242"/>
      <c r="L15" s="282"/>
      <c r="M15" s="278"/>
      <c r="N15" s="280"/>
      <c r="O15" s="283"/>
    </row>
    <row r="16" spans="1:19" ht="63.75" customHeight="1" x14ac:dyDescent="0.3">
      <c r="A16" s="270"/>
      <c r="B16" s="288"/>
      <c r="C16" s="243"/>
      <c r="D16" s="246"/>
      <c r="E16" s="243"/>
      <c r="F16" s="243"/>
      <c r="G16" s="243"/>
      <c r="H16" s="267"/>
      <c r="I16" s="243"/>
      <c r="J16" s="243"/>
      <c r="K16" s="243"/>
      <c r="L16" s="282"/>
      <c r="M16" s="278"/>
      <c r="N16" s="281"/>
      <c r="O16" s="283"/>
      <c r="S16" s="30"/>
    </row>
    <row r="17" spans="1:16" x14ac:dyDescent="0.3">
      <c r="A17" s="268" t="s">
        <v>31</v>
      </c>
      <c r="B17" s="23" t="s">
        <v>32</v>
      </c>
      <c r="C17" s="26">
        <v>44674.87</v>
      </c>
      <c r="D17" s="58"/>
      <c r="E17" s="25">
        <f>+ROUND(C17/12*0.005,2)*12</f>
        <v>223.32</v>
      </c>
      <c r="F17" s="109"/>
      <c r="G17" s="110">
        <f>+ROUND((C17+E17+F17)/12,2)</f>
        <v>3741.52</v>
      </c>
      <c r="H17" s="111">
        <f t="shared" ref="H17:H27" si="0">+G17+E17+C17</f>
        <v>48639.710000000006</v>
      </c>
      <c r="I17" s="26">
        <f>H17*23.46%</f>
        <v>11410.875966000001</v>
      </c>
      <c r="J17" s="26">
        <f>H17*7.41%</f>
        <v>3604.2025110000004</v>
      </c>
      <c r="K17" s="26">
        <f>H17*8.5%</f>
        <v>4134.3753500000012</v>
      </c>
      <c r="L17" s="27">
        <f>+H17+I17+J17+K17</f>
        <v>67789.163827000011</v>
      </c>
      <c r="M17" s="46"/>
      <c r="N17" s="47"/>
      <c r="O17" s="106">
        <f>+(M17+N17)*L17</f>
        <v>0</v>
      </c>
    </row>
    <row r="18" spans="1:16" x14ac:dyDescent="0.3">
      <c r="A18" s="269"/>
      <c r="B18" s="23" t="s">
        <v>33</v>
      </c>
      <c r="C18" s="26">
        <v>40560.15</v>
      </c>
      <c r="D18" s="58"/>
      <c r="E18" s="25">
        <f>+ROUND(C18/12*0.005,2)*12</f>
        <v>202.79999999999998</v>
      </c>
      <c r="F18" s="109"/>
      <c r="G18" s="110">
        <f>+ROUND((C18+E18+F18)/12,2)</f>
        <v>3396.91</v>
      </c>
      <c r="H18" s="111">
        <f t="shared" si="0"/>
        <v>44159.86</v>
      </c>
      <c r="I18" s="26">
        <f t="shared" ref="I18:I38" si="1">H18*23.46%</f>
        <v>10359.903156</v>
      </c>
      <c r="J18" s="26">
        <f t="shared" ref="J18:J38" si="2">H18*7.41%</f>
        <v>3272.2456259999999</v>
      </c>
      <c r="K18" s="26">
        <f>H18*8.5%</f>
        <v>3753.5881000000004</v>
      </c>
      <c r="L18" s="27">
        <f>+H18+I18+J18+K18</f>
        <v>61545.596882000005</v>
      </c>
      <c r="M18" s="46"/>
      <c r="N18" s="47"/>
      <c r="O18" s="106">
        <f>+(M18+N18)*L18</f>
        <v>0</v>
      </c>
    </row>
    <row r="19" spans="1:16" x14ac:dyDescent="0.3">
      <c r="A19" s="269"/>
      <c r="B19" s="23" t="s">
        <v>34</v>
      </c>
      <c r="C19" s="26">
        <v>34480.639999999999</v>
      </c>
      <c r="D19" s="58"/>
      <c r="E19" s="25">
        <f>+ROUND(C19/12*0.005,2)*12</f>
        <v>172.44</v>
      </c>
      <c r="F19" s="109"/>
      <c r="G19" s="110">
        <f>+ROUND((C19+E19+F19)/12,2)</f>
        <v>2887.76</v>
      </c>
      <c r="H19" s="111">
        <f t="shared" si="0"/>
        <v>37540.839999999997</v>
      </c>
      <c r="I19" s="26">
        <f t="shared" si="1"/>
        <v>8807.081064</v>
      </c>
      <c r="J19" s="26">
        <f t="shared" si="2"/>
        <v>2781.7762439999997</v>
      </c>
      <c r="K19" s="26">
        <f>H19*8.5%</f>
        <v>3190.9713999999999</v>
      </c>
      <c r="L19" s="27">
        <f>+H19+I19+J19+K19</f>
        <v>52320.668707999997</v>
      </c>
      <c r="M19" s="46"/>
      <c r="N19" s="47"/>
      <c r="O19" s="106">
        <f>+(M19+N19)*L19</f>
        <v>0</v>
      </c>
    </row>
    <row r="20" spans="1:16" x14ac:dyDescent="0.3">
      <c r="A20" s="270"/>
      <c r="B20" s="23" t="s">
        <v>35</v>
      </c>
      <c r="C20" s="26">
        <v>32491.32</v>
      </c>
      <c r="D20" s="58"/>
      <c r="E20" s="25">
        <f>+ROUND(C20/12*0.005,2)*12</f>
        <v>162.47999999999999</v>
      </c>
      <c r="F20" s="109"/>
      <c r="G20" s="110">
        <f>+ROUND((C20+E20+F20)/12,2)</f>
        <v>2721.15</v>
      </c>
      <c r="H20" s="111">
        <f t="shared" si="0"/>
        <v>35374.949999999997</v>
      </c>
      <c r="I20" s="26">
        <f t="shared" si="1"/>
        <v>8298.9632700000002</v>
      </c>
      <c r="J20" s="26">
        <f t="shared" si="2"/>
        <v>2621.2837949999998</v>
      </c>
      <c r="K20" s="26">
        <f>H20*8.5%</f>
        <v>3006.87075</v>
      </c>
      <c r="L20" s="27">
        <f>+H20+I20+J20+K20</f>
        <v>49302.067815000002</v>
      </c>
      <c r="M20" s="46">
        <v>13</v>
      </c>
      <c r="N20" s="47"/>
      <c r="O20" s="106">
        <f>+(M20+N20)*L20</f>
        <v>640926.88159500004</v>
      </c>
    </row>
    <row r="21" spans="1:16" ht="15.75" customHeight="1" x14ac:dyDescent="0.3">
      <c r="A21" s="268" t="s">
        <v>36</v>
      </c>
      <c r="B21" s="23" t="s">
        <v>34</v>
      </c>
      <c r="C21" s="24">
        <v>33614.480000000003</v>
      </c>
      <c r="D21" s="58"/>
      <c r="E21" s="25">
        <f>+ROUND(C21/12*0.005,2)*12</f>
        <v>168.12</v>
      </c>
      <c r="F21" s="109"/>
      <c r="G21" s="110">
        <f>+ROUND((C21+E21+F21)/12,2)</f>
        <v>2815.22</v>
      </c>
      <c r="H21" s="111">
        <f t="shared" si="0"/>
        <v>36597.82</v>
      </c>
      <c r="I21" s="26">
        <f t="shared" si="1"/>
        <v>8585.8485720000008</v>
      </c>
      <c r="J21" s="26">
        <f t="shared" si="2"/>
        <v>2711.8984620000001</v>
      </c>
      <c r="K21" s="26">
        <f>H21*8.5%</f>
        <v>3110.8147000000004</v>
      </c>
      <c r="L21" s="27">
        <f>+H21+I21+J21+K21</f>
        <v>51006.381734000002</v>
      </c>
      <c r="M21" s="46"/>
      <c r="N21" s="47"/>
      <c r="O21" s="106">
        <f>+(M21+N21)*L21</f>
        <v>0</v>
      </c>
    </row>
    <row r="22" spans="1:16" x14ac:dyDescent="0.3">
      <c r="A22" s="269"/>
      <c r="B22" s="23" t="s">
        <v>35</v>
      </c>
      <c r="C22" s="24">
        <v>31641</v>
      </c>
      <c r="D22" s="58"/>
      <c r="E22" s="25">
        <f t="shared" ref="E22:E38" si="3">+ROUND(C22/12*0.005,2)*12</f>
        <v>158.16</v>
      </c>
      <c r="F22" s="109"/>
      <c r="G22" s="110">
        <f t="shared" ref="G22:G38" si="4">+ROUND((C22+E22+F22)/12,2)</f>
        <v>2649.93</v>
      </c>
      <c r="H22" s="111">
        <f t="shared" si="0"/>
        <v>34449.089999999997</v>
      </c>
      <c r="I22" s="26">
        <f t="shared" si="1"/>
        <v>8081.7565139999997</v>
      </c>
      <c r="J22" s="26">
        <f t="shared" si="2"/>
        <v>2552.6775689999995</v>
      </c>
      <c r="K22" s="26">
        <f t="shared" ref="K22:K27" si="5">H22*8.5%</f>
        <v>2928.17265</v>
      </c>
      <c r="L22" s="112">
        <f t="shared" ref="L22:L38" si="6">+H22+I22+J22+K22</f>
        <v>48011.696732999997</v>
      </c>
      <c r="M22" s="209">
        <v>1</v>
      </c>
      <c r="N22" s="47"/>
      <c r="O22" s="106">
        <f t="shared" ref="O22:O27" si="7">+(M22+N22)*L22</f>
        <v>48011.696732999997</v>
      </c>
    </row>
    <row r="23" spans="1:16" x14ac:dyDescent="0.3">
      <c r="A23" s="269"/>
      <c r="B23" s="23" t="s">
        <v>37</v>
      </c>
      <c r="C23" s="24">
        <v>29655.67</v>
      </c>
      <c r="D23" s="58"/>
      <c r="E23" s="25">
        <f t="shared" si="3"/>
        <v>148.32</v>
      </c>
      <c r="F23" s="109"/>
      <c r="G23" s="110">
        <f t="shared" si="4"/>
        <v>2483.67</v>
      </c>
      <c r="H23" s="111">
        <f t="shared" si="0"/>
        <v>32287.66</v>
      </c>
      <c r="I23" s="26">
        <f t="shared" si="1"/>
        <v>7574.6850359999999</v>
      </c>
      <c r="J23" s="26">
        <f t="shared" si="2"/>
        <v>2392.5156059999999</v>
      </c>
      <c r="K23" s="113">
        <f t="shared" si="5"/>
        <v>2744.4511000000002</v>
      </c>
      <c r="L23" s="45">
        <f t="shared" si="6"/>
        <v>44999.311741999998</v>
      </c>
      <c r="M23" s="46"/>
      <c r="N23" s="47"/>
      <c r="O23" s="106">
        <f t="shared" si="7"/>
        <v>0</v>
      </c>
    </row>
    <row r="24" spans="1:16" x14ac:dyDescent="0.3">
      <c r="A24" s="269"/>
      <c r="B24" s="23" t="s">
        <v>38</v>
      </c>
      <c r="C24" s="24">
        <v>27858.84</v>
      </c>
      <c r="D24" s="59"/>
      <c r="E24" s="25">
        <f t="shared" si="3"/>
        <v>139.32</v>
      </c>
      <c r="F24" s="114"/>
      <c r="G24" s="110">
        <f t="shared" si="4"/>
        <v>2333.1799999999998</v>
      </c>
      <c r="H24" s="111">
        <f t="shared" si="0"/>
        <v>30331.34</v>
      </c>
      <c r="I24" s="26">
        <f t="shared" si="1"/>
        <v>7115.7323640000004</v>
      </c>
      <c r="J24" s="26">
        <f t="shared" si="2"/>
        <v>2247.5522940000001</v>
      </c>
      <c r="K24" s="113">
        <f t="shared" si="5"/>
        <v>2578.1639</v>
      </c>
      <c r="L24" s="45">
        <f t="shared" si="6"/>
        <v>42272.788558</v>
      </c>
      <c r="M24" s="46"/>
      <c r="N24" s="47">
        <v>3</v>
      </c>
      <c r="O24" s="106">
        <f t="shared" si="7"/>
        <v>126818.365674</v>
      </c>
    </row>
    <row r="25" spans="1:16" x14ac:dyDescent="0.3">
      <c r="A25" s="269"/>
      <c r="B25" s="23" t="s">
        <v>39</v>
      </c>
      <c r="C25" s="24">
        <v>25373.64</v>
      </c>
      <c r="D25" s="59"/>
      <c r="E25" s="25">
        <f t="shared" si="3"/>
        <v>126.84</v>
      </c>
      <c r="F25" s="114"/>
      <c r="G25" s="110">
        <f t="shared" si="4"/>
        <v>2125.04</v>
      </c>
      <c r="H25" s="111">
        <f t="shared" si="0"/>
        <v>27625.52</v>
      </c>
      <c r="I25" s="26">
        <f t="shared" si="1"/>
        <v>6480.9469920000001</v>
      </c>
      <c r="J25" s="26">
        <f t="shared" si="2"/>
        <v>2047.0510320000001</v>
      </c>
      <c r="K25" s="113">
        <f t="shared" si="5"/>
        <v>2348.1692000000003</v>
      </c>
      <c r="L25" s="45">
        <f t="shared" si="6"/>
        <v>38501.687224000008</v>
      </c>
      <c r="M25" s="46"/>
      <c r="N25" s="47">
        <v>1</v>
      </c>
      <c r="O25" s="106">
        <f t="shared" si="7"/>
        <v>38501.687224000008</v>
      </c>
    </row>
    <row r="26" spans="1:16" x14ac:dyDescent="0.3">
      <c r="A26" s="269"/>
      <c r="B26" s="23" t="s">
        <v>40</v>
      </c>
      <c r="C26" s="24">
        <v>24104.21</v>
      </c>
      <c r="D26" s="59"/>
      <c r="E26" s="25">
        <f t="shared" si="3"/>
        <v>120.47999999999999</v>
      </c>
      <c r="F26" s="114"/>
      <c r="G26" s="110">
        <f t="shared" si="4"/>
        <v>2018.72</v>
      </c>
      <c r="H26" s="111">
        <f t="shared" si="0"/>
        <v>26243.41</v>
      </c>
      <c r="I26" s="26">
        <f t="shared" si="1"/>
        <v>6156.7039860000004</v>
      </c>
      <c r="J26" s="26">
        <f t="shared" si="2"/>
        <v>1944.636681</v>
      </c>
      <c r="K26" s="113">
        <f t="shared" si="5"/>
        <v>2230.6898500000002</v>
      </c>
      <c r="L26" s="45">
        <f t="shared" si="6"/>
        <v>36575.440517000003</v>
      </c>
      <c r="M26" s="46"/>
      <c r="N26" s="47">
        <v>1</v>
      </c>
      <c r="O26" s="106">
        <f t="shared" si="7"/>
        <v>36575.440517000003</v>
      </c>
    </row>
    <row r="27" spans="1:16" ht="15.75" customHeight="1" x14ac:dyDescent="0.3">
      <c r="A27" s="269"/>
      <c r="B27" s="23" t="s">
        <v>41</v>
      </c>
      <c r="C27" s="24">
        <v>23299.78</v>
      </c>
      <c r="D27" s="59"/>
      <c r="E27" s="25">
        <f t="shared" si="3"/>
        <v>116.52000000000001</v>
      </c>
      <c r="F27" s="114"/>
      <c r="G27" s="110">
        <f t="shared" si="4"/>
        <v>1951.36</v>
      </c>
      <c r="H27" s="111">
        <f t="shared" si="0"/>
        <v>25367.66</v>
      </c>
      <c r="I27" s="26">
        <f t="shared" si="1"/>
        <v>5951.2530360000001</v>
      </c>
      <c r="J27" s="26">
        <f t="shared" si="2"/>
        <v>1879.743606</v>
      </c>
      <c r="K27" s="113">
        <f t="shared" si="5"/>
        <v>2156.2511</v>
      </c>
      <c r="L27" s="45">
        <f t="shared" si="6"/>
        <v>35354.907742000003</v>
      </c>
      <c r="M27" s="46">
        <v>51</v>
      </c>
      <c r="N27" s="47"/>
      <c r="O27" s="106">
        <f t="shared" si="7"/>
        <v>1803100.2948420001</v>
      </c>
      <c r="P27" s="30"/>
    </row>
    <row r="28" spans="1:16" x14ac:dyDescent="0.3">
      <c r="A28" s="121"/>
      <c r="B28" s="69"/>
      <c r="C28" s="61"/>
      <c r="D28" s="60"/>
      <c r="E28" s="63"/>
      <c r="F28" s="115"/>
      <c r="G28" s="116"/>
      <c r="H28" s="117"/>
      <c r="I28" s="167"/>
      <c r="J28" s="167"/>
      <c r="K28" s="118"/>
      <c r="L28" s="116"/>
      <c r="M28" s="65"/>
      <c r="N28" s="65"/>
      <c r="O28" s="65"/>
      <c r="P28" s="30"/>
    </row>
    <row r="29" spans="1:16" ht="17.100000000000001" customHeight="1" x14ac:dyDescent="0.3">
      <c r="A29" s="269" t="s">
        <v>42</v>
      </c>
      <c r="B29" s="31" t="s">
        <v>35</v>
      </c>
      <c r="C29" s="24">
        <v>24043.33</v>
      </c>
      <c r="D29" s="59"/>
      <c r="E29" s="25">
        <f t="shared" si="3"/>
        <v>120.24</v>
      </c>
      <c r="F29" s="114"/>
      <c r="G29" s="110">
        <f t="shared" si="4"/>
        <v>2013.63</v>
      </c>
      <c r="H29" s="111">
        <f t="shared" ref="H29:H34" si="8">+G29+E29+C29</f>
        <v>26177.200000000001</v>
      </c>
      <c r="I29" s="26">
        <f t="shared" si="1"/>
        <v>6141.17112</v>
      </c>
      <c r="J29" s="26">
        <f t="shared" si="2"/>
        <v>1939.7305200000001</v>
      </c>
      <c r="K29" s="113">
        <f t="shared" ref="K29:K34" si="9">H29*8.5%</f>
        <v>2225.0620000000004</v>
      </c>
      <c r="L29" s="45">
        <f t="shared" si="6"/>
        <v>36483.163639999999</v>
      </c>
      <c r="M29" s="46"/>
      <c r="N29" s="46"/>
      <c r="O29" s="106">
        <f t="shared" ref="O29:O34" si="10">+(M29+N29)*L29</f>
        <v>0</v>
      </c>
      <c r="P29" s="30"/>
    </row>
    <row r="30" spans="1:16" x14ac:dyDescent="0.3">
      <c r="A30" s="269"/>
      <c r="B30" s="31" t="s">
        <v>37</v>
      </c>
      <c r="C30" s="24">
        <v>23386.86</v>
      </c>
      <c r="D30" s="59"/>
      <c r="E30" s="25">
        <f t="shared" si="3"/>
        <v>116.88</v>
      </c>
      <c r="F30" s="114"/>
      <c r="G30" s="110">
        <f t="shared" si="4"/>
        <v>1958.65</v>
      </c>
      <c r="H30" s="111">
        <f t="shared" si="8"/>
        <v>25462.39</v>
      </c>
      <c r="I30" s="26">
        <f t="shared" si="1"/>
        <v>5973.476694</v>
      </c>
      <c r="J30" s="26">
        <f t="shared" si="2"/>
        <v>1886.763099</v>
      </c>
      <c r="K30" s="113">
        <f t="shared" si="9"/>
        <v>2164.3031500000002</v>
      </c>
      <c r="L30" s="45">
        <f t="shared" si="6"/>
        <v>35486.932943</v>
      </c>
      <c r="M30" s="209">
        <v>1</v>
      </c>
      <c r="N30" s="47"/>
      <c r="O30" s="106">
        <f t="shared" si="10"/>
        <v>35486.932943</v>
      </c>
      <c r="P30" s="30">
        <f>L30+L34+'Tab. 4.1 Assunzioni anno 2023'!L33+'Tab. 4.1 Assunzioni anno 2023'!L34+'Tab. 4.2 Assunzioni anno 2024'!L35</f>
        <v>160894.02406000003</v>
      </c>
    </row>
    <row r="31" spans="1:16" x14ac:dyDescent="0.3">
      <c r="A31" s="269"/>
      <c r="B31" s="31" t="s">
        <v>38</v>
      </c>
      <c r="C31" s="24">
        <v>22793.040000000001</v>
      </c>
      <c r="D31" s="59"/>
      <c r="E31" s="25">
        <f t="shared" si="3"/>
        <v>114</v>
      </c>
      <c r="F31" s="114"/>
      <c r="G31" s="110">
        <f t="shared" si="4"/>
        <v>1908.92</v>
      </c>
      <c r="H31" s="111">
        <f t="shared" si="8"/>
        <v>24815.96</v>
      </c>
      <c r="I31" s="26">
        <f t="shared" si="1"/>
        <v>5821.824216</v>
      </c>
      <c r="J31" s="26">
        <f t="shared" si="2"/>
        <v>1838.8626359999998</v>
      </c>
      <c r="K31" s="113">
        <f t="shared" si="9"/>
        <v>2109.3566000000001</v>
      </c>
      <c r="L31" s="45">
        <f t="shared" si="6"/>
        <v>34586.003451999997</v>
      </c>
      <c r="M31" s="46"/>
      <c r="N31" s="47">
        <v>1</v>
      </c>
      <c r="O31" s="106">
        <f t="shared" si="10"/>
        <v>34586.003451999997</v>
      </c>
      <c r="P31" s="30"/>
    </row>
    <row r="32" spans="1:16" x14ac:dyDescent="0.3">
      <c r="A32" s="269"/>
      <c r="B32" s="31" t="s">
        <v>39</v>
      </c>
      <c r="C32" s="24">
        <v>21449.360000000001</v>
      </c>
      <c r="D32" s="59"/>
      <c r="E32" s="25">
        <f t="shared" si="3"/>
        <v>107.28</v>
      </c>
      <c r="F32" s="114"/>
      <c r="G32" s="110">
        <f t="shared" si="4"/>
        <v>1796.39</v>
      </c>
      <c r="H32" s="111">
        <f t="shared" si="8"/>
        <v>23353.03</v>
      </c>
      <c r="I32" s="26">
        <f t="shared" si="1"/>
        <v>5478.6208379999998</v>
      </c>
      <c r="J32" s="26">
        <f t="shared" si="2"/>
        <v>1730.459523</v>
      </c>
      <c r="K32" s="113">
        <f t="shared" si="9"/>
        <v>1985.00755</v>
      </c>
      <c r="L32" s="45">
        <f t="shared" si="6"/>
        <v>32547.117910999998</v>
      </c>
      <c r="M32" s="46"/>
      <c r="N32" s="47">
        <v>2</v>
      </c>
      <c r="O32" s="106">
        <f t="shared" si="10"/>
        <v>65094.235821999995</v>
      </c>
      <c r="P32" s="30"/>
    </row>
    <row r="33" spans="1:19" ht="15" customHeight="1" x14ac:dyDescent="0.3">
      <c r="A33" s="269"/>
      <c r="B33" s="31" t="s">
        <v>40</v>
      </c>
      <c r="C33" s="24">
        <v>20167.03</v>
      </c>
      <c r="D33" s="59"/>
      <c r="E33" s="25">
        <f t="shared" si="3"/>
        <v>100.80000000000001</v>
      </c>
      <c r="F33" s="114"/>
      <c r="G33" s="110">
        <f t="shared" si="4"/>
        <v>1688.99</v>
      </c>
      <c r="H33" s="111">
        <f t="shared" si="8"/>
        <v>21956.82</v>
      </c>
      <c r="I33" s="26">
        <f t="shared" si="1"/>
        <v>5151.0699720000002</v>
      </c>
      <c r="J33" s="26">
        <f t="shared" si="2"/>
        <v>1627.000362</v>
      </c>
      <c r="K33" s="113">
        <f t="shared" si="9"/>
        <v>1866.3297</v>
      </c>
      <c r="L33" s="45">
        <f t="shared" si="6"/>
        <v>30601.220033999998</v>
      </c>
      <c r="M33" s="46"/>
      <c r="N33" s="47"/>
      <c r="O33" s="106">
        <f t="shared" si="10"/>
        <v>0</v>
      </c>
      <c r="S33" s="32"/>
    </row>
    <row r="34" spans="1:19" ht="15" customHeight="1" x14ac:dyDescent="0.3">
      <c r="A34" s="269"/>
      <c r="B34" s="31" t="s">
        <v>41</v>
      </c>
      <c r="C34" s="24">
        <v>19202.04</v>
      </c>
      <c r="D34" s="59"/>
      <c r="E34" s="25">
        <f t="shared" si="3"/>
        <v>96</v>
      </c>
      <c r="F34" s="114"/>
      <c r="G34" s="110">
        <f t="shared" si="4"/>
        <v>1608.17</v>
      </c>
      <c r="H34" s="111">
        <f t="shared" si="8"/>
        <v>20906.21</v>
      </c>
      <c r="I34" s="26">
        <f t="shared" si="1"/>
        <v>4904.5968659999999</v>
      </c>
      <c r="J34" s="26">
        <f t="shared" si="2"/>
        <v>1549.150161</v>
      </c>
      <c r="K34" s="113">
        <f t="shared" si="9"/>
        <v>1777.0278499999999</v>
      </c>
      <c r="L34" s="45">
        <f t="shared" si="6"/>
        <v>29136.984876999999</v>
      </c>
      <c r="M34" s="209">
        <v>12</v>
      </c>
      <c r="N34" s="47"/>
      <c r="O34" s="106">
        <f t="shared" si="10"/>
        <v>349643.818524</v>
      </c>
      <c r="S34" s="32"/>
    </row>
    <row r="35" spans="1:19" ht="15" customHeight="1" x14ac:dyDescent="0.3">
      <c r="A35" s="121"/>
      <c r="B35" s="120"/>
      <c r="C35" s="62"/>
      <c r="D35" s="61"/>
      <c r="E35" s="60"/>
      <c r="F35" s="115"/>
      <c r="G35" s="119"/>
      <c r="H35" s="117"/>
      <c r="I35" s="167"/>
      <c r="J35" s="167"/>
      <c r="K35" s="64"/>
      <c r="L35" s="65"/>
      <c r="M35" s="65"/>
      <c r="N35" s="66"/>
      <c r="O35" s="65"/>
      <c r="S35" s="32"/>
    </row>
    <row r="36" spans="1:19" ht="15" customHeight="1" x14ac:dyDescent="0.3">
      <c r="A36" s="269" t="s">
        <v>43</v>
      </c>
      <c r="B36" s="31" t="s">
        <v>39</v>
      </c>
      <c r="C36" s="24">
        <v>19550.650000000001</v>
      </c>
      <c r="D36" s="59"/>
      <c r="E36" s="25">
        <f t="shared" si="3"/>
        <v>97.800000000000011</v>
      </c>
      <c r="F36" s="114"/>
      <c r="G36" s="110">
        <f t="shared" si="4"/>
        <v>1637.37</v>
      </c>
      <c r="H36" s="111">
        <f>+G36+E36+C36</f>
        <v>21285.82</v>
      </c>
      <c r="I36" s="26">
        <f t="shared" si="1"/>
        <v>4993.6533719999998</v>
      </c>
      <c r="J36" s="26">
        <f t="shared" si="2"/>
        <v>1577.279262</v>
      </c>
      <c r="K36" s="26">
        <f>H36*8.5%</f>
        <v>1809.2947000000001</v>
      </c>
      <c r="L36" s="27">
        <f t="shared" si="6"/>
        <v>29666.047333999999</v>
      </c>
      <c r="M36" s="48"/>
      <c r="N36" s="49"/>
      <c r="O36" s="106">
        <f>+(M36+N36)*L36</f>
        <v>0</v>
      </c>
      <c r="S36" s="32"/>
    </row>
    <row r="37" spans="1:19" x14ac:dyDescent="0.3">
      <c r="A37" s="269"/>
      <c r="B37" s="31" t="s">
        <v>40</v>
      </c>
      <c r="C37" s="24">
        <v>18864.71</v>
      </c>
      <c r="D37" s="59"/>
      <c r="E37" s="25">
        <f t="shared" si="3"/>
        <v>94.320000000000007</v>
      </c>
      <c r="F37" s="114"/>
      <c r="G37" s="110">
        <f t="shared" si="4"/>
        <v>1579.92</v>
      </c>
      <c r="H37" s="111">
        <f>+G37+E37+C37</f>
        <v>20538.95</v>
      </c>
      <c r="I37" s="26">
        <f t="shared" si="1"/>
        <v>4818.4376700000003</v>
      </c>
      <c r="J37" s="26">
        <f t="shared" si="2"/>
        <v>1521.936195</v>
      </c>
      <c r="K37" s="26">
        <f>H37*8.5%</f>
        <v>1745.8107500000001</v>
      </c>
      <c r="L37" s="27">
        <f t="shared" si="6"/>
        <v>28625.134614999999</v>
      </c>
      <c r="M37" s="50"/>
      <c r="N37" s="49"/>
      <c r="O37" s="106">
        <f>+(M37+N37)*L37</f>
        <v>0</v>
      </c>
    </row>
    <row r="38" spans="1:19" x14ac:dyDescent="0.3">
      <c r="A38" s="269"/>
      <c r="B38" s="31" t="s">
        <v>41</v>
      </c>
      <c r="C38" s="24">
        <v>18243.61</v>
      </c>
      <c r="D38" s="59"/>
      <c r="E38" s="25">
        <f t="shared" si="3"/>
        <v>91.199999999999989</v>
      </c>
      <c r="F38" s="114"/>
      <c r="G38" s="110">
        <f t="shared" si="4"/>
        <v>1527.9</v>
      </c>
      <c r="H38" s="111">
        <f>+G38+E38+C38</f>
        <v>19862.71</v>
      </c>
      <c r="I38" s="26">
        <f t="shared" si="1"/>
        <v>4659.7917660000003</v>
      </c>
      <c r="J38" s="26">
        <f t="shared" si="2"/>
        <v>1471.8268109999999</v>
      </c>
      <c r="K38" s="26">
        <f>H38*8.5%</f>
        <v>1688.33035</v>
      </c>
      <c r="L38" s="27">
        <f t="shared" si="6"/>
        <v>27682.658927</v>
      </c>
      <c r="M38" s="50">
        <v>3</v>
      </c>
      <c r="N38" s="51"/>
      <c r="O38" s="106">
        <f>+(M38+N38)*L38</f>
        <v>83047.976781000005</v>
      </c>
    </row>
    <row r="39" spans="1:19" x14ac:dyDescent="0.3">
      <c r="A39" s="70"/>
      <c r="B39" s="69"/>
      <c r="C39" s="61"/>
      <c r="D39" s="60"/>
      <c r="E39" s="63"/>
      <c r="F39" s="63"/>
      <c r="G39" s="61"/>
      <c r="H39" s="61"/>
      <c r="I39" s="60"/>
      <c r="J39" s="60"/>
      <c r="K39" s="60"/>
      <c r="L39" s="67"/>
      <c r="M39" s="67"/>
      <c r="N39" s="68"/>
      <c r="O39" s="65"/>
    </row>
    <row r="40" spans="1:19" ht="18" customHeight="1" x14ac:dyDescent="0.3">
      <c r="A40" s="35"/>
      <c r="B40" s="35"/>
      <c r="C40" s="35"/>
      <c r="D40" s="35"/>
      <c r="E40" s="52"/>
      <c r="F40" s="52"/>
      <c r="G40" s="35"/>
      <c r="H40" s="35"/>
      <c r="I40" s="35"/>
      <c r="J40" s="35"/>
      <c r="K40" s="52"/>
      <c r="L40" s="22" t="s">
        <v>44</v>
      </c>
      <c r="M40" s="46">
        <f>+SUM(M10:M39)</f>
        <v>86</v>
      </c>
      <c r="N40" s="46">
        <f>+SUM(N10:N39)</f>
        <v>8</v>
      </c>
      <c r="O40" s="168">
        <f>+SUM(O10:O38)</f>
        <v>3591060.8126470004</v>
      </c>
    </row>
    <row r="41" spans="1:19" ht="15" customHeight="1" x14ac:dyDescent="0.3">
      <c r="M41" s="53"/>
      <c r="N41" s="53"/>
      <c r="O41" s="35"/>
      <c r="Q41" s="35"/>
    </row>
    <row r="42" spans="1:19" ht="15" customHeight="1" x14ac:dyDescent="0.3">
      <c r="M42" s="54"/>
      <c r="N42" s="54"/>
      <c r="O42" s="54"/>
      <c r="Q42" s="35"/>
    </row>
    <row r="43" spans="1:19" ht="15" customHeight="1" x14ac:dyDescent="0.3">
      <c r="A43" s="35" t="s">
        <v>57</v>
      </c>
      <c r="M43" s="53"/>
      <c r="N43" s="53"/>
      <c r="O43" s="35"/>
      <c r="Q43" s="35"/>
    </row>
    <row r="44" spans="1:19" ht="15" customHeight="1" x14ac:dyDescent="0.3">
      <c r="A44" s="35" t="s">
        <v>58</v>
      </c>
      <c r="B44" s="35"/>
      <c r="C44" s="35"/>
      <c r="D44" s="35"/>
      <c r="E44" s="35"/>
      <c r="F44" s="35"/>
      <c r="G44" s="35"/>
      <c r="H44" s="35"/>
      <c r="I44" s="35"/>
      <c r="J44" s="35"/>
      <c r="K44" s="35"/>
      <c r="L44" s="35"/>
      <c r="M44" s="53"/>
      <c r="N44" s="53"/>
      <c r="O44" s="35"/>
      <c r="Q44" s="35"/>
    </row>
    <row r="45" spans="1:19" ht="15.75" customHeight="1" x14ac:dyDescent="0.3">
      <c r="A45" s="35" t="s">
        <v>59</v>
      </c>
      <c r="B45" s="35"/>
      <c r="C45" s="35"/>
      <c r="D45" s="35"/>
      <c r="E45" s="35"/>
      <c r="F45" s="35"/>
      <c r="G45" s="35"/>
      <c r="H45" s="35"/>
      <c r="I45" s="35"/>
      <c r="J45" s="35"/>
      <c r="K45" s="35"/>
      <c r="L45" s="35"/>
      <c r="M45" s="53"/>
      <c r="N45" s="53"/>
      <c r="O45" s="35"/>
      <c r="Q45" s="35"/>
    </row>
    <row r="46" spans="1:19" x14ac:dyDescent="0.3">
      <c r="B46" s="35"/>
      <c r="C46" s="35"/>
      <c r="D46" s="35"/>
      <c r="E46" s="35"/>
      <c r="F46" s="35"/>
      <c r="G46" s="35"/>
      <c r="H46" s="35"/>
      <c r="I46" s="35"/>
      <c r="J46" s="35"/>
      <c r="K46" s="35"/>
      <c r="L46" s="35"/>
      <c r="M46" s="53"/>
      <c r="N46" s="53"/>
      <c r="O46" s="35"/>
      <c r="P46" s="35"/>
      <c r="Q46" s="35"/>
    </row>
    <row r="47" spans="1:19" ht="15" customHeight="1" x14ac:dyDescent="0.3">
      <c r="A47" s="35" t="s">
        <v>60</v>
      </c>
      <c r="F47" s="55"/>
      <c r="G47" s="55"/>
      <c r="H47" s="55"/>
      <c r="I47" s="55"/>
      <c r="J47" s="55"/>
      <c r="K47" s="55"/>
      <c r="L47" s="55"/>
      <c r="M47" s="53"/>
      <c r="N47" s="53"/>
      <c r="O47" s="35"/>
      <c r="P47" s="35"/>
      <c r="Q47" s="35"/>
    </row>
    <row r="48" spans="1:19" x14ac:dyDescent="0.3">
      <c r="A48" s="35"/>
      <c r="B48" s="35"/>
      <c r="C48" s="35"/>
      <c r="D48" s="35"/>
      <c r="E48" s="35"/>
      <c r="F48" s="35"/>
      <c r="G48" s="35"/>
      <c r="H48" s="35"/>
      <c r="I48" s="35"/>
      <c r="J48" s="35"/>
      <c r="K48" s="35"/>
      <c r="L48" s="35"/>
      <c r="M48" s="54"/>
      <c r="N48" s="54"/>
      <c r="O48" s="54"/>
      <c r="P48" s="35"/>
    </row>
    <row r="49" spans="1:16" x14ac:dyDescent="0.3">
      <c r="A49" s="35" t="s">
        <v>61</v>
      </c>
      <c r="B49" s="35"/>
      <c r="C49" s="35"/>
      <c r="D49" s="35"/>
      <c r="E49" s="35"/>
      <c r="F49" s="35"/>
      <c r="G49" s="35"/>
      <c r="H49" s="37"/>
      <c r="I49" s="35"/>
      <c r="J49" s="35"/>
      <c r="K49" s="35"/>
      <c r="L49" s="35"/>
      <c r="M49" s="56"/>
      <c r="N49" s="57"/>
      <c r="O49" s="57"/>
      <c r="P49" s="35"/>
    </row>
    <row r="50" spans="1:16" x14ac:dyDescent="0.3">
      <c r="M50" s="56"/>
      <c r="N50" s="57"/>
      <c r="O50" s="57"/>
      <c r="P50" s="35"/>
    </row>
    <row r="51" spans="1:16" x14ac:dyDescent="0.3">
      <c r="P51" s="35"/>
    </row>
    <row r="60" spans="1:16" x14ac:dyDescent="0.3">
      <c r="M60" s="35"/>
      <c r="N60" s="35"/>
    </row>
    <row r="61" spans="1:16" x14ac:dyDescent="0.3">
      <c r="M61" s="35"/>
      <c r="N61" s="35"/>
    </row>
    <row r="62" spans="1:16" x14ac:dyDescent="0.3">
      <c r="M62" s="35"/>
      <c r="N62" s="35"/>
      <c r="O62" s="35"/>
    </row>
    <row r="63" spans="1:16" x14ac:dyDescent="0.3">
      <c r="M63" s="35"/>
      <c r="N63" s="35"/>
      <c r="O63" s="35"/>
    </row>
    <row r="64" spans="1:16" x14ac:dyDescent="0.3">
      <c r="M64" s="35"/>
      <c r="N64" s="35"/>
      <c r="O64" s="35"/>
    </row>
    <row r="65" spans="13:15" x14ac:dyDescent="0.3">
      <c r="M65" s="35"/>
      <c r="N65" s="35"/>
      <c r="O65" s="35"/>
    </row>
    <row r="66" spans="13:15" x14ac:dyDescent="0.3">
      <c r="M66" s="35"/>
      <c r="N66" s="35"/>
      <c r="O66" s="35"/>
    </row>
    <row r="67" spans="13:15" x14ac:dyDescent="0.3">
      <c r="M67" s="35"/>
      <c r="N67" s="35"/>
      <c r="O67" s="35"/>
    </row>
    <row r="68" spans="13:15" x14ac:dyDescent="0.3">
      <c r="O68" s="35"/>
    </row>
    <row r="69" spans="13:15" x14ac:dyDescent="0.3">
      <c r="O69" s="35"/>
    </row>
  </sheetData>
  <sheetProtection selectLockedCells="1" selectUnlockedCells="1"/>
  <mergeCells count="39">
    <mergeCell ref="O13:O16"/>
    <mergeCell ref="A1:B1"/>
    <mergeCell ref="A17:A20"/>
    <mergeCell ref="J13:J16"/>
    <mergeCell ref="A36:A38"/>
    <mergeCell ref="A6:A11"/>
    <mergeCell ref="B6:B9"/>
    <mergeCell ref="C6:C9"/>
    <mergeCell ref="A21:A27"/>
    <mergeCell ref="A29:A34"/>
    <mergeCell ref="A13:A16"/>
    <mergeCell ref="B13:B16"/>
    <mergeCell ref="I2:L3"/>
    <mergeCell ref="I1:L1"/>
    <mergeCell ref="E13:E16"/>
    <mergeCell ref="D6:D9"/>
    <mergeCell ref="D13:D16"/>
    <mergeCell ref="G13:G16"/>
    <mergeCell ref="K6:K9"/>
    <mergeCell ref="H6:H9"/>
    <mergeCell ref="L6:L9"/>
    <mergeCell ref="J6:J9"/>
    <mergeCell ref="G6:G9"/>
    <mergeCell ref="N1:P1"/>
    <mergeCell ref="A5:P5"/>
    <mergeCell ref="M13:M16"/>
    <mergeCell ref="N13:N16"/>
    <mergeCell ref="H13:H16"/>
    <mergeCell ref="I13:I16"/>
    <mergeCell ref="F13:F16"/>
    <mergeCell ref="M6:M9"/>
    <mergeCell ref="N6:N9"/>
    <mergeCell ref="O6:O9"/>
    <mergeCell ref="C13:C16"/>
    <mergeCell ref="I6:I9"/>
    <mergeCell ref="K13:K16"/>
    <mergeCell ref="F6:F9"/>
    <mergeCell ref="E6:E9"/>
    <mergeCell ref="L13:L16"/>
  </mergeCells>
  <phoneticPr fontId="3" type="noConversion"/>
  <hyperlinks>
    <hyperlink ref="D3" r:id="rId1" xr:uid="{00000000-0004-0000-0100-000000000000}"/>
  </hyperlinks>
  <pageMargins left="0.45" right="0.47013888888888888" top="0.62013888888888891" bottom="0.47013888888888888" header="0.51180555555555551" footer="0.51180555555555551"/>
  <pageSetup paperSize="9" scale="73" firstPageNumber="0" orientation="landscape"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R69"/>
  <sheetViews>
    <sheetView topLeftCell="C1" zoomScale="80" zoomScaleNormal="80" workbookViewId="0">
      <selection activeCell="N42" sqref="N42"/>
    </sheetView>
  </sheetViews>
  <sheetFormatPr defaultColWidth="8.5546875" defaultRowHeight="15.6" x14ac:dyDescent="0.3"/>
  <cols>
    <col min="1" max="1" width="16.5546875" style="29" customWidth="1"/>
    <col min="2" max="2" width="24.21875" style="29" customWidth="1"/>
    <col min="3" max="3" width="20.44140625" style="29" customWidth="1"/>
    <col min="4" max="4" width="27.21875" style="29" customWidth="1"/>
    <col min="5" max="5" width="14.44140625" style="29" customWidth="1"/>
    <col min="6" max="6" width="14.21875" style="29" bestFit="1" customWidth="1"/>
    <col min="7" max="7" width="12.77734375" style="29" customWidth="1"/>
    <col min="8" max="8" width="14" style="29" customWidth="1"/>
    <col min="9" max="9" width="14.21875" style="29" customWidth="1"/>
    <col min="10" max="10" width="11.77734375" style="29" customWidth="1"/>
    <col min="11" max="11" width="12.77734375" style="29" customWidth="1"/>
    <col min="12" max="12" width="18.44140625" style="29" bestFit="1" customWidth="1"/>
    <col min="13" max="13" width="12.5546875" style="29" customWidth="1"/>
    <col min="14" max="15" width="17.5546875" style="29" customWidth="1"/>
    <col min="16" max="16" width="12" style="29" customWidth="1"/>
    <col min="17" max="17" width="8.5546875" style="29"/>
    <col min="18" max="18" width="12" style="29" customWidth="1"/>
    <col min="19" max="19" width="11.44140625" style="29" customWidth="1"/>
    <col min="20" max="21" width="12" style="29" customWidth="1"/>
    <col min="22" max="16384" width="8.5546875" style="29"/>
  </cols>
  <sheetData>
    <row r="1" spans="1:18" ht="16.2" x14ac:dyDescent="0.35">
      <c r="A1" s="298" t="s">
        <v>0</v>
      </c>
      <c r="B1" s="299"/>
      <c r="C1" s="180" t="s">
        <v>1</v>
      </c>
      <c r="D1" s="181"/>
      <c r="E1" s="36"/>
      <c r="F1" s="35"/>
      <c r="G1" s="35"/>
      <c r="H1" s="35"/>
      <c r="I1" s="259" t="s">
        <v>50</v>
      </c>
      <c r="J1" s="260"/>
      <c r="K1" s="260"/>
      <c r="L1" s="261"/>
      <c r="M1" s="276"/>
      <c r="N1" s="276"/>
      <c r="O1" s="276"/>
    </row>
    <row r="2" spans="1:18" ht="12.75" customHeight="1" x14ac:dyDescent="0.3">
      <c r="A2" s="300" t="s">
        <v>3</v>
      </c>
      <c r="B2" s="301"/>
      <c r="C2" s="176"/>
      <c r="D2" s="182"/>
      <c r="E2" s="36"/>
      <c r="F2" s="35"/>
      <c r="G2" s="35"/>
      <c r="H2" s="37"/>
      <c r="I2" s="289" t="s">
        <v>4</v>
      </c>
      <c r="J2" s="290"/>
      <c r="K2" s="290"/>
      <c r="L2" s="291"/>
      <c r="M2" s="35"/>
      <c r="N2" s="35"/>
      <c r="O2" s="35"/>
    </row>
    <row r="3" spans="1:18" ht="31.8" thickBot="1" x14ac:dyDescent="0.35">
      <c r="A3" s="183" t="s">
        <v>5</v>
      </c>
      <c r="B3" s="184" t="s">
        <v>6</v>
      </c>
      <c r="C3" s="184" t="s">
        <v>7</v>
      </c>
      <c r="D3" s="189" t="s">
        <v>8</v>
      </c>
      <c r="E3" s="36"/>
      <c r="F3" s="35"/>
      <c r="G3" s="35"/>
      <c r="H3" s="35"/>
      <c r="I3" s="292"/>
      <c r="J3" s="293"/>
      <c r="K3" s="293"/>
      <c r="L3" s="294"/>
      <c r="M3" s="35"/>
      <c r="N3" s="35"/>
      <c r="O3" s="35"/>
    </row>
    <row r="4" spans="1:18" ht="16.5" customHeight="1" x14ac:dyDescent="0.3">
      <c r="A4" s="38"/>
      <c r="B4" s="38"/>
      <c r="C4" s="38"/>
      <c r="D4" s="38"/>
      <c r="E4" s="38"/>
      <c r="F4" s="38"/>
      <c r="G4" s="38"/>
      <c r="H4" s="38"/>
      <c r="I4" s="38"/>
      <c r="J4" s="38"/>
      <c r="K4" s="38"/>
      <c r="L4" s="38"/>
      <c r="M4" s="39"/>
      <c r="N4" s="39"/>
      <c r="O4" s="39"/>
    </row>
    <row r="5" spans="1:18" ht="19.5" customHeight="1" x14ac:dyDescent="0.3">
      <c r="A5" s="277" t="s">
        <v>62</v>
      </c>
      <c r="B5" s="277"/>
      <c r="C5" s="277"/>
      <c r="D5" s="277"/>
      <c r="E5" s="277"/>
      <c r="F5" s="277"/>
      <c r="G5" s="277"/>
      <c r="H5" s="277"/>
      <c r="I5" s="277"/>
      <c r="J5" s="277"/>
      <c r="K5" s="277"/>
      <c r="L5" s="277"/>
      <c r="M5" s="277"/>
      <c r="N5" s="277"/>
      <c r="O5" s="277"/>
    </row>
    <row r="6" spans="1:18" ht="15" customHeight="1" x14ac:dyDescent="0.3">
      <c r="A6" s="268" t="s">
        <v>10</v>
      </c>
      <c r="B6" s="241" t="s">
        <v>63</v>
      </c>
      <c r="C6" s="241" t="s">
        <v>12</v>
      </c>
      <c r="D6" s="241" t="s">
        <v>13</v>
      </c>
      <c r="E6" s="241" t="s">
        <v>14</v>
      </c>
      <c r="F6" s="241" t="s">
        <v>15</v>
      </c>
      <c r="G6" s="241" t="s">
        <v>16</v>
      </c>
      <c r="H6" s="265" t="s">
        <v>17</v>
      </c>
      <c r="I6" s="241" t="s">
        <v>18</v>
      </c>
      <c r="J6" s="241" t="s">
        <v>19</v>
      </c>
      <c r="K6" s="241" t="s">
        <v>20</v>
      </c>
      <c r="L6" s="253" t="s">
        <v>21</v>
      </c>
      <c r="M6" s="262" t="s">
        <v>64</v>
      </c>
      <c r="N6" s="256" t="s">
        <v>65</v>
      </c>
    </row>
    <row r="7" spans="1:18" ht="15" customHeight="1" x14ac:dyDescent="0.3">
      <c r="A7" s="269"/>
      <c r="B7" s="242"/>
      <c r="C7" s="242"/>
      <c r="D7" s="242"/>
      <c r="E7" s="242"/>
      <c r="F7" s="242"/>
      <c r="G7" s="242"/>
      <c r="H7" s="266"/>
      <c r="I7" s="242"/>
      <c r="J7" s="242"/>
      <c r="K7" s="242"/>
      <c r="L7" s="254"/>
      <c r="M7" s="263"/>
      <c r="N7" s="257"/>
    </row>
    <row r="8" spans="1:18" ht="15" customHeight="1" x14ac:dyDescent="0.3">
      <c r="A8" s="269"/>
      <c r="B8" s="242"/>
      <c r="C8" s="242"/>
      <c r="D8" s="242"/>
      <c r="E8" s="242"/>
      <c r="F8" s="242"/>
      <c r="G8" s="242"/>
      <c r="H8" s="266"/>
      <c r="I8" s="242"/>
      <c r="J8" s="242"/>
      <c r="K8" s="242"/>
      <c r="L8" s="254"/>
      <c r="M8" s="263"/>
      <c r="N8" s="257"/>
    </row>
    <row r="9" spans="1:18" ht="15" customHeight="1" x14ac:dyDescent="0.3">
      <c r="A9" s="269"/>
      <c r="B9" s="243"/>
      <c r="C9" s="242"/>
      <c r="D9" s="243"/>
      <c r="E9" s="243"/>
      <c r="F9" s="243"/>
      <c r="G9" s="243"/>
      <c r="H9" s="267"/>
      <c r="I9" s="243"/>
      <c r="J9" s="243"/>
      <c r="K9" s="243"/>
      <c r="L9" s="255"/>
      <c r="M9" s="264"/>
      <c r="N9" s="258"/>
      <c r="P9" s="33"/>
    </row>
    <row r="10" spans="1:18" ht="18" customHeight="1" x14ac:dyDescent="0.3">
      <c r="A10" s="269"/>
      <c r="B10" s="236" t="s">
        <v>148</v>
      </c>
      <c r="C10" s="229">
        <f>4623.3*12</f>
        <v>55479.600000000006</v>
      </c>
      <c r="D10" s="230"/>
      <c r="E10" s="231">
        <f>23.12*12</f>
        <v>277.44</v>
      </c>
      <c r="F10" s="231"/>
      <c r="G10" s="232">
        <f>(C10+E10)/12</f>
        <v>4646.420000000001</v>
      </c>
      <c r="H10" s="233">
        <f>SUM(C10:G10)</f>
        <v>60403.460000000006</v>
      </c>
      <c r="I10" s="232">
        <f>H10*23.46%</f>
        <v>14170.651716000002</v>
      </c>
      <c r="J10" s="232">
        <f>H10*7.41%</f>
        <v>4475.8963860000003</v>
      </c>
      <c r="K10" s="232">
        <f>H10*8.5%</f>
        <v>5134.294100000001</v>
      </c>
      <c r="L10" s="237">
        <f>SUM(H10:K10)</f>
        <v>84184.302202000021</v>
      </c>
      <c r="M10" s="11"/>
      <c r="N10" s="28">
        <f>+L10*M10</f>
        <v>0</v>
      </c>
      <c r="P10" s="33"/>
    </row>
    <row r="11" spans="1:18" ht="18" customHeight="1" x14ac:dyDescent="0.3">
      <c r="A11" s="270"/>
      <c r="B11" s="236" t="s">
        <v>25</v>
      </c>
      <c r="C11" s="229">
        <f>3616.6*12</f>
        <v>43399.199999999997</v>
      </c>
      <c r="D11" s="234"/>
      <c r="E11" s="235">
        <f>18.08*12</f>
        <v>216.95999999999998</v>
      </c>
      <c r="F11" s="235"/>
      <c r="G11" s="232">
        <f>(C11+E11)/12</f>
        <v>3634.68</v>
      </c>
      <c r="H11" s="233">
        <f>SUM(C11:G11)</f>
        <v>47250.84</v>
      </c>
      <c r="I11" s="232">
        <f>H11*23.46%</f>
        <v>11085.047063999998</v>
      </c>
      <c r="J11" s="232">
        <f>H11*7.41%</f>
        <v>3501.2872439999996</v>
      </c>
      <c r="K11" s="232">
        <f>H11*8.5%</f>
        <v>4016.3213999999998</v>
      </c>
      <c r="L11" s="237">
        <f>SUM(H11:K11)</f>
        <v>65853.495707999988</v>
      </c>
      <c r="M11" s="14">
        <v>1</v>
      </c>
      <c r="N11" s="238">
        <f>+L11*M11</f>
        <v>65853.495707999988</v>
      </c>
      <c r="P11" s="34"/>
      <c r="R11" s="30"/>
    </row>
    <row r="12" spans="1:18" ht="14.25" customHeight="1" x14ac:dyDescent="0.3">
      <c r="A12" s="40"/>
      <c r="B12" s="41"/>
      <c r="C12" s="42"/>
      <c r="D12" s="43"/>
      <c r="E12" s="43"/>
      <c r="F12" s="43"/>
      <c r="G12" s="43"/>
      <c r="H12" s="43"/>
      <c r="I12" s="43"/>
      <c r="J12" s="43"/>
      <c r="K12" s="43"/>
      <c r="L12" s="43"/>
      <c r="M12" s="44"/>
      <c r="N12" s="43"/>
      <c r="P12" s="34"/>
      <c r="Q12" s="30"/>
      <c r="R12" s="30"/>
    </row>
    <row r="13" spans="1:18" ht="15" customHeight="1" x14ac:dyDescent="0.3">
      <c r="A13" s="268" t="s">
        <v>26</v>
      </c>
      <c r="B13" s="286" t="s">
        <v>66</v>
      </c>
      <c r="C13" s="241" t="s">
        <v>28</v>
      </c>
      <c r="D13" s="244"/>
      <c r="E13" s="241" t="s">
        <v>14</v>
      </c>
      <c r="F13" s="241" t="s">
        <v>15</v>
      </c>
      <c r="G13" s="241" t="s">
        <v>16</v>
      </c>
      <c r="H13" s="265" t="s">
        <v>17</v>
      </c>
      <c r="I13" s="241" t="s">
        <v>18</v>
      </c>
      <c r="J13" s="241" t="s">
        <v>19</v>
      </c>
      <c r="K13" s="241" t="s">
        <v>20</v>
      </c>
      <c r="L13" s="282" t="s">
        <v>21</v>
      </c>
      <c r="M13" s="295" t="s">
        <v>64</v>
      </c>
      <c r="N13" s="283" t="s">
        <v>65</v>
      </c>
      <c r="P13" s="34"/>
      <c r="Q13" s="30"/>
      <c r="R13" s="30"/>
    </row>
    <row r="14" spans="1:18" ht="15" customHeight="1" x14ac:dyDescent="0.3">
      <c r="A14" s="269"/>
      <c r="B14" s="287"/>
      <c r="C14" s="242"/>
      <c r="D14" s="245"/>
      <c r="E14" s="242"/>
      <c r="F14" s="242"/>
      <c r="G14" s="242"/>
      <c r="H14" s="266"/>
      <c r="I14" s="242"/>
      <c r="J14" s="242"/>
      <c r="K14" s="242"/>
      <c r="L14" s="282"/>
      <c r="M14" s="296"/>
      <c r="N14" s="283"/>
      <c r="Q14" s="30"/>
      <c r="R14" s="30"/>
    </row>
    <row r="15" spans="1:18" ht="15" customHeight="1" x14ac:dyDescent="0.3">
      <c r="A15" s="269"/>
      <c r="B15" s="287"/>
      <c r="C15" s="242"/>
      <c r="D15" s="245"/>
      <c r="E15" s="242"/>
      <c r="F15" s="242"/>
      <c r="G15" s="242"/>
      <c r="H15" s="266"/>
      <c r="I15" s="242"/>
      <c r="J15" s="242"/>
      <c r="K15" s="242"/>
      <c r="L15" s="282"/>
      <c r="M15" s="296"/>
      <c r="N15" s="283"/>
    </row>
    <row r="16" spans="1:18" ht="71.25" customHeight="1" x14ac:dyDescent="0.3">
      <c r="A16" s="270"/>
      <c r="B16" s="288"/>
      <c r="C16" s="243"/>
      <c r="D16" s="246"/>
      <c r="E16" s="243"/>
      <c r="F16" s="243"/>
      <c r="G16" s="243"/>
      <c r="H16" s="267"/>
      <c r="I16" s="243"/>
      <c r="J16" s="243"/>
      <c r="K16" s="243"/>
      <c r="L16" s="282"/>
      <c r="M16" s="297"/>
      <c r="N16" s="283"/>
      <c r="R16" s="30"/>
    </row>
    <row r="17" spans="1:15" x14ac:dyDescent="0.3">
      <c r="A17" s="268" t="s">
        <v>31</v>
      </c>
      <c r="B17" s="23" t="s">
        <v>32</v>
      </c>
      <c r="C17" s="26">
        <v>44674.87</v>
      </c>
      <c r="D17" s="58"/>
      <c r="E17" s="25">
        <f>+ROUND(C17/12*0.005,2)*12</f>
        <v>223.32</v>
      </c>
      <c r="F17" s="109"/>
      <c r="G17" s="110">
        <f>+ROUND((C17+E17+F17)/12,2)</f>
        <v>3741.52</v>
      </c>
      <c r="H17" s="111">
        <f t="shared" ref="H17:H27" si="0">+G17+E17+C17</f>
        <v>48639.710000000006</v>
      </c>
      <c r="I17" s="26">
        <f>H17*23.46%</f>
        <v>11410.875966000001</v>
      </c>
      <c r="J17" s="26">
        <f>H17*7.41%</f>
        <v>3604.2025110000004</v>
      </c>
      <c r="K17" s="113">
        <f>H17*8.5%</f>
        <v>4134.3753500000012</v>
      </c>
      <c r="L17" s="45">
        <f>+H17+I17+J17+K17</f>
        <v>67789.163827000011</v>
      </c>
      <c r="M17" s="47"/>
      <c r="N17" s="28">
        <f>+L17*M17</f>
        <v>0</v>
      </c>
    </row>
    <row r="18" spans="1:15" x14ac:dyDescent="0.3">
      <c r="A18" s="269"/>
      <c r="B18" s="23" t="s">
        <v>33</v>
      </c>
      <c r="C18" s="26">
        <v>40560.15</v>
      </c>
      <c r="D18" s="58"/>
      <c r="E18" s="25">
        <f>+ROUND(C18/12*0.005,2)*12</f>
        <v>202.79999999999998</v>
      </c>
      <c r="F18" s="109"/>
      <c r="G18" s="110">
        <f>+ROUND((C18+E18+F18)/12,2)</f>
        <v>3396.91</v>
      </c>
      <c r="H18" s="111">
        <f t="shared" si="0"/>
        <v>44159.86</v>
      </c>
      <c r="I18" s="26">
        <f t="shared" ref="I18:I38" si="1">H18*23.46%</f>
        <v>10359.903156</v>
      </c>
      <c r="J18" s="26">
        <f t="shared" ref="J18:J38" si="2">H18*7.41%</f>
        <v>3272.2456259999999</v>
      </c>
      <c r="K18" s="113">
        <f>H18*8.5%</f>
        <v>3753.5881000000004</v>
      </c>
      <c r="L18" s="45">
        <f>+H18+I18+J18+K18</f>
        <v>61545.596882000005</v>
      </c>
      <c r="M18" s="47"/>
      <c r="N18" s="28">
        <f>+L18*M18</f>
        <v>0</v>
      </c>
    </row>
    <row r="19" spans="1:15" x14ac:dyDescent="0.3">
      <c r="A19" s="269"/>
      <c r="B19" s="23" t="s">
        <v>34</v>
      </c>
      <c r="C19" s="26">
        <v>34480.639999999999</v>
      </c>
      <c r="D19" s="58"/>
      <c r="E19" s="25">
        <f>+ROUND(C19/12*0.005,2)*12</f>
        <v>172.44</v>
      </c>
      <c r="F19" s="109"/>
      <c r="G19" s="110">
        <f>+ROUND((C19+E19+F19)/12,2)</f>
        <v>2887.76</v>
      </c>
      <c r="H19" s="111">
        <f t="shared" si="0"/>
        <v>37540.839999999997</v>
      </c>
      <c r="I19" s="26">
        <f t="shared" si="1"/>
        <v>8807.081064</v>
      </c>
      <c r="J19" s="26">
        <f t="shared" si="2"/>
        <v>2781.7762439999997</v>
      </c>
      <c r="K19" s="113">
        <f>H19*8.5%</f>
        <v>3190.9713999999999</v>
      </c>
      <c r="L19" s="45">
        <f>+H19+I19+J19+K19</f>
        <v>52320.668707999997</v>
      </c>
      <c r="M19" s="47"/>
      <c r="N19" s="28">
        <f>+L19*M19</f>
        <v>0</v>
      </c>
    </row>
    <row r="20" spans="1:15" x14ac:dyDescent="0.3">
      <c r="A20" s="270"/>
      <c r="B20" s="23" t="s">
        <v>35</v>
      </c>
      <c r="C20" s="26">
        <v>32491.32</v>
      </c>
      <c r="D20" s="58"/>
      <c r="E20" s="25">
        <f>+ROUND(C20/12*0.005,2)*12</f>
        <v>162.47999999999999</v>
      </c>
      <c r="F20" s="109"/>
      <c r="G20" s="110">
        <f>+ROUND((C20+E20+F20)/12,2)</f>
        <v>2721.15</v>
      </c>
      <c r="H20" s="111">
        <f t="shared" si="0"/>
        <v>35374.949999999997</v>
      </c>
      <c r="I20" s="26">
        <f t="shared" si="1"/>
        <v>8298.9632700000002</v>
      </c>
      <c r="J20" s="26">
        <f t="shared" si="2"/>
        <v>2621.2837949999998</v>
      </c>
      <c r="K20" s="113">
        <f>H20*8.5%</f>
        <v>3006.87075</v>
      </c>
      <c r="L20" s="45">
        <f>+H20+I20+J20+K20</f>
        <v>49302.067815000002</v>
      </c>
      <c r="M20" s="47">
        <v>2</v>
      </c>
      <c r="N20" s="238">
        <f>+L20*M20</f>
        <v>98604.135630000004</v>
      </c>
    </row>
    <row r="21" spans="1:15" ht="15.75" customHeight="1" x14ac:dyDescent="0.3">
      <c r="A21" s="268" t="s">
        <v>36</v>
      </c>
      <c r="B21" s="23" t="s">
        <v>34</v>
      </c>
      <c r="C21" s="24">
        <v>33614.480000000003</v>
      </c>
      <c r="D21" s="58"/>
      <c r="E21" s="25">
        <f>+ROUND(C21/12*0.005,2)*12</f>
        <v>168.12</v>
      </c>
      <c r="F21" s="109"/>
      <c r="G21" s="110">
        <f>+ROUND((C21+E21+F21)/12,2)</f>
        <v>2815.22</v>
      </c>
      <c r="H21" s="111">
        <f t="shared" si="0"/>
        <v>36597.82</v>
      </c>
      <c r="I21" s="26">
        <f t="shared" si="1"/>
        <v>8585.8485720000008</v>
      </c>
      <c r="J21" s="26">
        <f t="shared" si="2"/>
        <v>2711.8984620000001</v>
      </c>
      <c r="K21" s="113">
        <f>H21*8.5%</f>
        <v>3110.8147000000004</v>
      </c>
      <c r="L21" s="45">
        <f>+H21+I21+J21+K21</f>
        <v>51006.381734000002</v>
      </c>
      <c r="M21" s="47"/>
      <c r="N21" s="28">
        <f>+L21*M21</f>
        <v>0</v>
      </c>
    </row>
    <row r="22" spans="1:15" x14ac:dyDescent="0.3">
      <c r="A22" s="269"/>
      <c r="B22" s="23" t="s">
        <v>35</v>
      </c>
      <c r="C22" s="24">
        <v>31641</v>
      </c>
      <c r="D22" s="58"/>
      <c r="E22" s="25">
        <f t="shared" ref="E22:E38" si="3">+ROUND(C22/12*0.005,2)*12</f>
        <v>158.16</v>
      </c>
      <c r="F22" s="109"/>
      <c r="G22" s="110">
        <f t="shared" ref="G22:G38" si="4">+ROUND((C22+E22+F22)/12,2)</f>
        <v>2649.93</v>
      </c>
      <c r="H22" s="111">
        <f t="shared" si="0"/>
        <v>34449.089999999997</v>
      </c>
      <c r="I22" s="26">
        <f t="shared" si="1"/>
        <v>8081.7565139999997</v>
      </c>
      <c r="J22" s="26">
        <f t="shared" si="2"/>
        <v>2552.6775689999995</v>
      </c>
      <c r="K22" s="113">
        <f t="shared" ref="K22:K27" si="5">H22*8.5%</f>
        <v>2928.17265</v>
      </c>
      <c r="L22" s="45">
        <f t="shared" ref="L22:L38" si="6">+H22+I22+J22+K22</f>
        <v>48011.696732999997</v>
      </c>
      <c r="M22" s="47"/>
      <c r="N22" s="28">
        <f t="shared" ref="N22:N27" si="7">+L22*M22</f>
        <v>0</v>
      </c>
    </row>
    <row r="23" spans="1:15" x14ac:dyDescent="0.3">
      <c r="A23" s="269"/>
      <c r="B23" s="23" t="s">
        <v>37</v>
      </c>
      <c r="C23" s="24">
        <v>29655.67</v>
      </c>
      <c r="D23" s="58"/>
      <c r="E23" s="25">
        <f t="shared" si="3"/>
        <v>148.32</v>
      </c>
      <c r="F23" s="109"/>
      <c r="G23" s="110">
        <f t="shared" si="4"/>
        <v>2483.67</v>
      </c>
      <c r="H23" s="111">
        <f t="shared" si="0"/>
        <v>32287.66</v>
      </c>
      <c r="I23" s="26">
        <f t="shared" si="1"/>
        <v>7574.6850359999999</v>
      </c>
      <c r="J23" s="26">
        <f t="shared" si="2"/>
        <v>2392.5156059999999</v>
      </c>
      <c r="K23" s="113">
        <f t="shared" si="5"/>
        <v>2744.4511000000002</v>
      </c>
      <c r="L23" s="45">
        <f t="shared" si="6"/>
        <v>44999.311741999998</v>
      </c>
      <c r="M23" s="47"/>
      <c r="N23" s="28">
        <f t="shared" si="7"/>
        <v>0</v>
      </c>
    </row>
    <row r="24" spans="1:15" x14ac:dyDescent="0.3">
      <c r="A24" s="269"/>
      <c r="B24" s="23" t="s">
        <v>38</v>
      </c>
      <c r="C24" s="24">
        <v>27858.84</v>
      </c>
      <c r="D24" s="59"/>
      <c r="E24" s="25">
        <f t="shared" si="3"/>
        <v>139.32</v>
      </c>
      <c r="F24" s="114"/>
      <c r="G24" s="110">
        <f t="shared" si="4"/>
        <v>2333.1799999999998</v>
      </c>
      <c r="H24" s="111">
        <f t="shared" si="0"/>
        <v>30331.34</v>
      </c>
      <c r="I24" s="26">
        <f t="shared" si="1"/>
        <v>7115.7323640000004</v>
      </c>
      <c r="J24" s="26">
        <f t="shared" si="2"/>
        <v>2247.5522940000001</v>
      </c>
      <c r="K24" s="113">
        <f t="shared" si="5"/>
        <v>2578.1639</v>
      </c>
      <c r="L24" s="45">
        <f t="shared" si="6"/>
        <v>42272.788558</v>
      </c>
      <c r="M24" s="47"/>
      <c r="N24" s="28">
        <f t="shared" si="7"/>
        <v>0</v>
      </c>
    </row>
    <row r="25" spans="1:15" x14ac:dyDescent="0.3">
      <c r="A25" s="269"/>
      <c r="B25" s="23" t="s">
        <v>39</v>
      </c>
      <c r="C25" s="24">
        <v>25373.64</v>
      </c>
      <c r="D25" s="59"/>
      <c r="E25" s="25">
        <f t="shared" si="3"/>
        <v>126.84</v>
      </c>
      <c r="F25" s="114"/>
      <c r="G25" s="110">
        <f t="shared" si="4"/>
        <v>2125.04</v>
      </c>
      <c r="H25" s="111">
        <f t="shared" si="0"/>
        <v>27625.52</v>
      </c>
      <c r="I25" s="26">
        <f t="shared" si="1"/>
        <v>6480.9469920000001</v>
      </c>
      <c r="J25" s="26">
        <f t="shared" si="2"/>
        <v>2047.0510320000001</v>
      </c>
      <c r="K25" s="113">
        <f t="shared" si="5"/>
        <v>2348.1692000000003</v>
      </c>
      <c r="L25" s="45">
        <f t="shared" si="6"/>
        <v>38501.687224000008</v>
      </c>
      <c r="M25" s="47"/>
      <c r="N25" s="28">
        <f t="shared" si="7"/>
        <v>0</v>
      </c>
    </row>
    <row r="26" spans="1:15" x14ac:dyDescent="0.3">
      <c r="A26" s="269"/>
      <c r="B26" s="23" t="s">
        <v>40</v>
      </c>
      <c r="C26" s="24">
        <v>24104.21</v>
      </c>
      <c r="D26" s="59"/>
      <c r="E26" s="25">
        <f t="shared" si="3"/>
        <v>120.47999999999999</v>
      </c>
      <c r="F26" s="114"/>
      <c r="G26" s="110">
        <f t="shared" si="4"/>
        <v>2018.72</v>
      </c>
      <c r="H26" s="111">
        <f t="shared" si="0"/>
        <v>26243.41</v>
      </c>
      <c r="I26" s="26">
        <f t="shared" si="1"/>
        <v>6156.7039860000004</v>
      </c>
      <c r="J26" s="26">
        <f t="shared" si="2"/>
        <v>1944.636681</v>
      </c>
      <c r="K26" s="113">
        <f t="shared" si="5"/>
        <v>2230.6898500000002</v>
      </c>
      <c r="L26" s="45">
        <f t="shared" si="6"/>
        <v>36575.440517000003</v>
      </c>
      <c r="M26" s="47"/>
      <c r="N26" s="28">
        <f t="shared" si="7"/>
        <v>0</v>
      </c>
    </row>
    <row r="27" spans="1:15" x14ac:dyDescent="0.3">
      <c r="A27" s="269"/>
      <c r="B27" s="23" t="s">
        <v>41</v>
      </c>
      <c r="C27" s="24">
        <v>23299.78</v>
      </c>
      <c r="D27" s="59"/>
      <c r="E27" s="25">
        <f t="shared" si="3"/>
        <v>116.52000000000001</v>
      </c>
      <c r="F27" s="114"/>
      <c r="G27" s="110">
        <f t="shared" si="4"/>
        <v>1951.36</v>
      </c>
      <c r="H27" s="111">
        <f t="shared" si="0"/>
        <v>25367.66</v>
      </c>
      <c r="I27" s="26">
        <f t="shared" si="1"/>
        <v>5951.2530360000001</v>
      </c>
      <c r="J27" s="26">
        <f t="shared" si="2"/>
        <v>1879.743606</v>
      </c>
      <c r="K27" s="113">
        <f t="shared" si="5"/>
        <v>2156.2511</v>
      </c>
      <c r="L27" s="45">
        <f t="shared" si="6"/>
        <v>35354.907742000003</v>
      </c>
      <c r="M27" s="47">
        <v>3</v>
      </c>
      <c r="N27" s="238">
        <f t="shared" si="7"/>
        <v>106064.723226</v>
      </c>
      <c r="O27" s="30"/>
    </row>
    <row r="28" spans="1:15" x14ac:dyDescent="0.3">
      <c r="A28" s="121"/>
      <c r="B28" s="69"/>
      <c r="C28" s="61"/>
      <c r="D28" s="60"/>
      <c r="E28" s="63"/>
      <c r="F28" s="115"/>
      <c r="G28" s="116"/>
      <c r="H28" s="117"/>
      <c r="I28" s="164"/>
      <c r="J28" s="164"/>
      <c r="K28" s="118"/>
      <c r="L28" s="126"/>
      <c r="M28" s="68"/>
      <c r="N28" s="65"/>
      <c r="O28" s="30"/>
    </row>
    <row r="29" spans="1:15" ht="17.100000000000001" customHeight="1" x14ac:dyDescent="0.3">
      <c r="A29" s="269" t="s">
        <v>42</v>
      </c>
      <c r="B29" s="31" t="s">
        <v>35</v>
      </c>
      <c r="C29" s="24">
        <v>24043.33</v>
      </c>
      <c r="D29" s="59"/>
      <c r="E29" s="25">
        <f t="shared" si="3"/>
        <v>120.24</v>
      </c>
      <c r="F29" s="114"/>
      <c r="G29" s="110">
        <f t="shared" si="4"/>
        <v>2013.63</v>
      </c>
      <c r="H29" s="111">
        <f t="shared" ref="H29:H34" si="8">+G29+E29+C29</f>
        <v>26177.200000000001</v>
      </c>
      <c r="I29" s="26">
        <f t="shared" si="1"/>
        <v>6141.17112</v>
      </c>
      <c r="J29" s="26">
        <f t="shared" si="2"/>
        <v>1939.7305200000001</v>
      </c>
      <c r="K29" s="113">
        <f t="shared" ref="K29:K34" si="9">H29*8.5%</f>
        <v>2225.0620000000004</v>
      </c>
      <c r="L29" s="45">
        <f t="shared" si="6"/>
        <v>36483.163639999999</v>
      </c>
      <c r="M29" s="46"/>
      <c r="N29" s="28">
        <f t="shared" ref="N29:N38" si="10">+L29*M29</f>
        <v>0</v>
      </c>
      <c r="O29" s="30"/>
    </row>
    <row r="30" spans="1:15" x14ac:dyDescent="0.3">
      <c r="A30" s="269"/>
      <c r="B30" s="31" t="s">
        <v>37</v>
      </c>
      <c r="C30" s="24">
        <v>23386.86</v>
      </c>
      <c r="D30" s="59"/>
      <c r="E30" s="25">
        <f t="shared" si="3"/>
        <v>116.88</v>
      </c>
      <c r="F30" s="114"/>
      <c r="G30" s="110">
        <f t="shared" si="4"/>
        <v>1958.65</v>
      </c>
      <c r="H30" s="111">
        <f t="shared" si="8"/>
        <v>25462.39</v>
      </c>
      <c r="I30" s="26">
        <f t="shared" si="1"/>
        <v>5973.476694</v>
      </c>
      <c r="J30" s="26">
        <f t="shared" si="2"/>
        <v>1886.763099</v>
      </c>
      <c r="K30" s="113">
        <f t="shared" si="9"/>
        <v>2164.3031500000002</v>
      </c>
      <c r="L30" s="45">
        <f t="shared" si="6"/>
        <v>35486.932943</v>
      </c>
      <c r="M30" s="46"/>
      <c r="N30" s="28">
        <f t="shared" si="10"/>
        <v>0</v>
      </c>
      <c r="O30" s="30"/>
    </row>
    <row r="31" spans="1:15" x14ac:dyDescent="0.3">
      <c r="A31" s="269"/>
      <c r="B31" s="31" t="s">
        <v>38</v>
      </c>
      <c r="C31" s="24">
        <v>22793.040000000001</v>
      </c>
      <c r="D31" s="59"/>
      <c r="E31" s="25">
        <f t="shared" si="3"/>
        <v>114</v>
      </c>
      <c r="F31" s="114"/>
      <c r="G31" s="110">
        <f t="shared" si="4"/>
        <v>1908.92</v>
      </c>
      <c r="H31" s="111">
        <f t="shared" si="8"/>
        <v>24815.96</v>
      </c>
      <c r="I31" s="26">
        <f t="shared" si="1"/>
        <v>5821.824216</v>
      </c>
      <c r="J31" s="26">
        <f t="shared" si="2"/>
        <v>1838.8626359999998</v>
      </c>
      <c r="K31" s="113">
        <f t="shared" si="9"/>
        <v>2109.3566000000001</v>
      </c>
      <c r="L31" s="45">
        <f t="shared" si="6"/>
        <v>34586.003451999997</v>
      </c>
      <c r="M31" s="46"/>
      <c r="N31" s="28">
        <f t="shared" si="10"/>
        <v>0</v>
      </c>
      <c r="O31" s="30"/>
    </row>
    <row r="32" spans="1:15" x14ac:dyDescent="0.3">
      <c r="A32" s="269"/>
      <c r="B32" s="31" t="s">
        <v>39</v>
      </c>
      <c r="C32" s="24">
        <v>21449.360000000001</v>
      </c>
      <c r="D32" s="59"/>
      <c r="E32" s="25">
        <f t="shared" si="3"/>
        <v>107.28</v>
      </c>
      <c r="F32" s="114"/>
      <c r="G32" s="110">
        <f t="shared" si="4"/>
        <v>1796.39</v>
      </c>
      <c r="H32" s="111">
        <f t="shared" si="8"/>
        <v>23353.03</v>
      </c>
      <c r="I32" s="26">
        <f t="shared" si="1"/>
        <v>5478.6208379999998</v>
      </c>
      <c r="J32" s="26">
        <f t="shared" si="2"/>
        <v>1730.459523</v>
      </c>
      <c r="K32" s="113">
        <f t="shared" si="9"/>
        <v>1985.00755</v>
      </c>
      <c r="L32" s="45">
        <f t="shared" si="6"/>
        <v>32547.117910999998</v>
      </c>
      <c r="M32" s="46"/>
      <c r="N32" s="28">
        <f t="shared" si="10"/>
        <v>0</v>
      </c>
      <c r="O32" s="30"/>
    </row>
    <row r="33" spans="1:18" ht="15" customHeight="1" x14ac:dyDescent="0.3">
      <c r="A33" s="269"/>
      <c r="B33" s="31" t="s">
        <v>40</v>
      </c>
      <c r="C33" s="24">
        <v>20167.03</v>
      </c>
      <c r="D33" s="59"/>
      <c r="E33" s="25">
        <f t="shared" si="3"/>
        <v>100.80000000000001</v>
      </c>
      <c r="F33" s="114"/>
      <c r="G33" s="110">
        <f t="shared" si="4"/>
        <v>1688.99</v>
      </c>
      <c r="H33" s="111">
        <f t="shared" si="8"/>
        <v>21956.82</v>
      </c>
      <c r="I33" s="26">
        <f t="shared" si="1"/>
        <v>5151.0699720000002</v>
      </c>
      <c r="J33" s="26">
        <f t="shared" si="2"/>
        <v>1627.000362</v>
      </c>
      <c r="K33" s="113">
        <f t="shared" si="9"/>
        <v>1866.3297</v>
      </c>
      <c r="L33" s="45">
        <f t="shared" si="6"/>
        <v>30601.220033999998</v>
      </c>
      <c r="M33" s="46"/>
      <c r="N33" s="28">
        <f t="shared" si="10"/>
        <v>0</v>
      </c>
      <c r="R33" s="32"/>
    </row>
    <row r="34" spans="1:18" ht="15" customHeight="1" x14ac:dyDescent="0.3">
      <c r="A34" s="269"/>
      <c r="B34" s="31" t="s">
        <v>41</v>
      </c>
      <c r="C34" s="24">
        <v>19202.04</v>
      </c>
      <c r="D34" s="59"/>
      <c r="E34" s="25">
        <f t="shared" si="3"/>
        <v>96</v>
      </c>
      <c r="F34" s="114"/>
      <c r="G34" s="110">
        <f t="shared" si="4"/>
        <v>1608.17</v>
      </c>
      <c r="H34" s="111">
        <f t="shared" si="8"/>
        <v>20906.21</v>
      </c>
      <c r="I34" s="26">
        <f t="shared" si="1"/>
        <v>4904.5968659999999</v>
      </c>
      <c r="J34" s="26">
        <f t="shared" si="2"/>
        <v>1549.150161</v>
      </c>
      <c r="K34" s="113">
        <f t="shared" si="9"/>
        <v>1777.0278499999999</v>
      </c>
      <c r="L34" s="45">
        <f t="shared" si="6"/>
        <v>29136.984876999999</v>
      </c>
      <c r="M34" s="46"/>
      <c r="N34" s="28">
        <f t="shared" si="10"/>
        <v>0</v>
      </c>
      <c r="R34" s="32"/>
    </row>
    <row r="35" spans="1:18" ht="15" customHeight="1" x14ac:dyDescent="0.3">
      <c r="A35" s="121"/>
      <c r="B35" s="120"/>
      <c r="C35" s="62"/>
      <c r="D35" s="61"/>
      <c r="E35" s="60"/>
      <c r="F35" s="115"/>
      <c r="G35" s="119"/>
      <c r="H35" s="117"/>
      <c r="I35" s="164"/>
      <c r="J35" s="164"/>
      <c r="K35" s="64"/>
      <c r="L35" s="65"/>
      <c r="M35" s="65"/>
      <c r="N35" s="65"/>
      <c r="R35" s="32"/>
    </row>
    <row r="36" spans="1:18" ht="15" customHeight="1" x14ac:dyDescent="0.3">
      <c r="A36" s="269" t="s">
        <v>43</v>
      </c>
      <c r="B36" s="31" t="s">
        <v>39</v>
      </c>
      <c r="C36" s="24">
        <v>19550.650000000001</v>
      </c>
      <c r="D36" s="59"/>
      <c r="E36" s="25">
        <f t="shared" si="3"/>
        <v>97.800000000000011</v>
      </c>
      <c r="F36" s="114"/>
      <c r="G36" s="110">
        <f t="shared" si="4"/>
        <v>1637.37</v>
      </c>
      <c r="H36" s="111">
        <f>+G36+E36+C36</f>
        <v>21285.82</v>
      </c>
      <c r="I36" s="26">
        <f t="shared" si="1"/>
        <v>4993.6533719999998</v>
      </c>
      <c r="J36" s="26">
        <f t="shared" si="2"/>
        <v>1577.279262</v>
      </c>
      <c r="K36" s="113">
        <f>H36*8.5%</f>
        <v>1809.2947000000001</v>
      </c>
      <c r="L36" s="45">
        <f t="shared" si="6"/>
        <v>29666.047333999999</v>
      </c>
      <c r="M36" s="46"/>
      <c r="N36" s="28">
        <f t="shared" si="10"/>
        <v>0</v>
      </c>
      <c r="R36" s="32"/>
    </row>
    <row r="37" spans="1:18" x14ac:dyDescent="0.3">
      <c r="A37" s="269"/>
      <c r="B37" s="31" t="s">
        <v>40</v>
      </c>
      <c r="C37" s="24">
        <v>18864.71</v>
      </c>
      <c r="D37" s="59"/>
      <c r="E37" s="25">
        <f t="shared" si="3"/>
        <v>94.320000000000007</v>
      </c>
      <c r="F37" s="114"/>
      <c r="G37" s="110">
        <f t="shared" si="4"/>
        <v>1579.92</v>
      </c>
      <c r="H37" s="111">
        <f>+G37+E37+C37</f>
        <v>20538.95</v>
      </c>
      <c r="I37" s="26">
        <f t="shared" si="1"/>
        <v>4818.4376700000003</v>
      </c>
      <c r="J37" s="26">
        <f t="shared" si="2"/>
        <v>1521.936195</v>
      </c>
      <c r="K37" s="113">
        <f>H37*8.5%</f>
        <v>1745.8107500000001</v>
      </c>
      <c r="L37" s="45">
        <f t="shared" si="6"/>
        <v>28625.134614999999</v>
      </c>
      <c r="M37" s="46"/>
      <c r="N37" s="28">
        <f t="shared" si="10"/>
        <v>0</v>
      </c>
    </row>
    <row r="38" spans="1:18" x14ac:dyDescent="0.3">
      <c r="A38" s="269"/>
      <c r="B38" s="31" t="s">
        <v>41</v>
      </c>
      <c r="C38" s="24">
        <v>18243.61</v>
      </c>
      <c r="D38" s="59"/>
      <c r="E38" s="25">
        <f t="shared" si="3"/>
        <v>91.199999999999989</v>
      </c>
      <c r="F38" s="114"/>
      <c r="G38" s="110">
        <f t="shared" si="4"/>
        <v>1527.9</v>
      </c>
      <c r="H38" s="111">
        <f>+G38+E38+C38</f>
        <v>19862.71</v>
      </c>
      <c r="I38" s="26">
        <f t="shared" si="1"/>
        <v>4659.7917660000003</v>
      </c>
      <c r="J38" s="26">
        <f t="shared" si="2"/>
        <v>1471.8268109999999</v>
      </c>
      <c r="K38" s="113">
        <f>H38*8.5%</f>
        <v>1688.33035</v>
      </c>
      <c r="L38" s="45">
        <f t="shared" si="6"/>
        <v>27682.658927</v>
      </c>
      <c r="M38" s="46"/>
      <c r="N38" s="28">
        <f t="shared" si="10"/>
        <v>0</v>
      </c>
    </row>
    <row r="39" spans="1:18" x14ac:dyDescent="0.3">
      <c r="A39" s="70"/>
      <c r="B39" s="69"/>
      <c r="C39" s="61"/>
      <c r="D39" s="60"/>
      <c r="E39" s="63"/>
      <c r="F39" s="63"/>
      <c r="G39" s="61"/>
      <c r="H39" s="64"/>
      <c r="I39" s="64"/>
      <c r="J39" s="64"/>
      <c r="K39" s="68"/>
      <c r="L39" s="127"/>
      <c r="M39" s="128"/>
      <c r="N39" s="65"/>
    </row>
    <row r="40" spans="1:18" ht="16.2" x14ac:dyDescent="0.35">
      <c r="A40" s="35"/>
      <c r="B40" s="52"/>
      <c r="C40" s="103"/>
      <c r="D40" s="54"/>
      <c r="E40" s="104"/>
      <c r="F40" s="104"/>
      <c r="G40" s="103"/>
      <c r="H40" s="54"/>
      <c r="I40" s="54"/>
      <c r="J40" s="105" t="s">
        <v>67</v>
      </c>
      <c r="K40" s="98" t="s">
        <v>68</v>
      </c>
      <c r="L40" s="102"/>
      <c r="M40" s="99">
        <f>+M10</f>
        <v>0</v>
      </c>
      <c r="N40" s="100">
        <f>+N10</f>
        <v>0</v>
      </c>
    </row>
    <row r="41" spans="1:18" ht="18" customHeight="1" x14ac:dyDescent="0.35">
      <c r="A41" s="35"/>
      <c r="B41" s="35"/>
      <c r="C41" s="35"/>
      <c r="D41" s="35"/>
      <c r="E41" s="52"/>
      <c r="F41" s="52"/>
      <c r="G41" s="35"/>
      <c r="H41" s="35"/>
      <c r="I41" s="35"/>
      <c r="J41" s="105" t="s">
        <v>67</v>
      </c>
      <c r="K41" s="98" t="s">
        <v>69</v>
      </c>
      <c r="L41" s="102"/>
      <c r="M41" s="170">
        <f>+SUM(M11:M38)</f>
        <v>6</v>
      </c>
      <c r="N41" s="101">
        <f>SUM(N10:N40)</f>
        <v>270522.35456400004</v>
      </c>
    </row>
    <row r="42" spans="1:18" ht="18.75" customHeight="1" x14ac:dyDescent="0.3">
      <c r="K42" s="98" t="s">
        <v>70</v>
      </c>
      <c r="L42" s="98"/>
      <c r="M42" s="98">
        <f>+SUM(M10:M38)</f>
        <v>6</v>
      </c>
      <c r="N42" s="171">
        <f>+SUM(N10:N38)</f>
        <v>270522.35456400004</v>
      </c>
      <c r="P42" s="35"/>
    </row>
    <row r="43" spans="1:18" x14ac:dyDescent="0.3">
      <c r="A43" s="35" t="s">
        <v>71</v>
      </c>
      <c r="B43" s="35"/>
      <c r="C43" s="35"/>
      <c r="D43" s="35"/>
      <c r="E43" s="35"/>
      <c r="F43" s="35"/>
      <c r="G43" s="35"/>
      <c r="H43" s="35"/>
      <c r="I43" s="35"/>
      <c r="J43" s="35"/>
      <c r="K43" s="35"/>
      <c r="L43" s="35"/>
      <c r="M43" s="35"/>
      <c r="N43" s="35"/>
    </row>
    <row r="44" spans="1:18" x14ac:dyDescent="0.3">
      <c r="A44" s="35"/>
      <c r="B44" s="35"/>
      <c r="C44" s="35"/>
      <c r="D44" s="35"/>
      <c r="E44" s="35"/>
      <c r="F44" s="35"/>
      <c r="G44" s="35"/>
      <c r="H44" s="35"/>
      <c r="I44" s="35"/>
      <c r="J44" s="35"/>
      <c r="K44" s="35"/>
      <c r="L44" s="35"/>
      <c r="M44" s="35"/>
      <c r="N44" s="35"/>
    </row>
    <row r="45" spans="1:18" s="123" customFormat="1" x14ac:dyDescent="0.3">
      <c r="A45" s="122" t="s">
        <v>72</v>
      </c>
      <c r="B45" s="122"/>
      <c r="C45" s="122"/>
      <c r="D45" s="122"/>
      <c r="E45" s="122"/>
      <c r="F45" s="122"/>
      <c r="G45" s="122"/>
      <c r="H45" s="122"/>
      <c r="I45" s="122"/>
      <c r="J45" s="122"/>
      <c r="K45" s="122"/>
      <c r="L45" s="122"/>
      <c r="M45" s="122"/>
      <c r="N45" s="122"/>
    </row>
    <row r="46" spans="1:18" s="123" customFormat="1" x14ac:dyDescent="0.3">
      <c r="A46" s="122" t="s">
        <v>73</v>
      </c>
      <c r="B46" s="122"/>
      <c r="C46" s="122"/>
      <c r="D46" s="122"/>
      <c r="E46" s="122"/>
      <c r="F46" s="122"/>
      <c r="G46" s="122"/>
      <c r="H46" s="122"/>
      <c r="I46" s="122"/>
      <c r="J46" s="122"/>
      <c r="K46" s="122"/>
      <c r="L46" s="122"/>
      <c r="M46" s="122"/>
      <c r="N46" s="122"/>
    </row>
    <row r="47" spans="1:18" x14ac:dyDescent="0.3">
      <c r="A47" s="35"/>
      <c r="B47" s="35"/>
      <c r="C47" s="35"/>
      <c r="D47" s="35"/>
      <c r="E47" s="35"/>
      <c r="F47" s="35"/>
      <c r="G47" s="35"/>
      <c r="H47" s="35"/>
      <c r="I47" s="35"/>
      <c r="J47" s="35"/>
      <c r="K47" s="35"/>
      <c r="L47" s="35"/>
      <c r="M47" s="35"/>
      <c r="N47" s="35"/>
    </row>
    <row r="48" spans="1:18" x14ac:dyDescent="0.3">
      <c r="A48" s="35" t="s">
        <v>74</v>
      </c>
      <c r="B48" s="35"/>
      <c r="C48" s="35"/>
      <c r="D48" s="35"/>
      <c r="E48" s="35"/>
      <c r="F48" s="35"/>
      <c r="G48" s="35"/>
      <c r="I48" s="35"/>
      <c r="J48" s="35"/>
      <c r="K48" s="35"/>
      <c r="L48" s="35"/>
      <c r="M48" s="35"/>
      <c r="N48" s="35"/>
    </row>
    <row r="49" spans="1:15" x14ac:dyDescent="0.3">
      <c r="A49" s="35"/>
      <c r="B49" s="35"/>
      <c r="C49" s="35"/>
      <c r="D49" s="35"/>
      <c r="E49" s="35"/>
      <c r="F49" s="35"/>
      <c r="I49" s="35"/>
      <c r="J49" s="35"/>
      <c r="K49" s="35"/>
      <c r="L49" s="35"/>
      <c r="M49" s="35"/>
      <c r="N49" s="35"/>
    </row>
    <row r="50" spans="1:15" x14ac:dyDescent="0.3">
      <c r="M50" s="57"/>
      <c r="N50" s="57"/>
      <c r="O50" s="35"/>
    </row>
    <row r="51" spans="1:15" x14ac:dyDescent="0.3">
      <c r="O51" s="35"/>
    </row>
    <row r="60" spans="1:15" x14ac:dyDescent="0.3">
      <c r="M60" s="35"/>
    </row>
    <row r="61" spans="1:15" x14ac:dyDescent="0.3">
      <c r="M61" s="35"/>
    </row>
    <row r="62" spans="1:15" x14ac:dyDescent="0.3">
      <c r="M62" s="35"/>
      <c r="N62" s="35"/>
    </row>
    <row r="63" spans="1:15" x14ac:dyDescent="0.3">
      <c r="M63" s="35"/>
      <c r="N63" s="35"/>
    </row>
    <row r="64" spans="1:15" x14ac:dyDescent="0.3">
      <c r="M64" s="35"/>
      <c r="N64" s="35"/>
    </row>
    <row r="65" spans="13:14" x14ac:dyDescent="0.3">
      <c r="M65" s="35"/>
      <c r="N65" s="35"/>
    </row>
    <row r="66" spans="13:14" x14ac:dyDescent="0.3">
      <c r="M66" s="35"/>
      <c r="N66" s="35"/>
    </row>
    <row r="67" spans="13:14" x14ac:dyDescent="0.3">
      <c r="M67" s="35"/>
      <c r="N67" s="35"/>
    </row>
    <row r="68" spans="13:14" x14ac:dyDescent="0.3">
      <c r="N68" s="35"/>
    </row>
    <row r="69" spans="13:14" x14ac:dyDescent="0.3">
      <c r="N69" s="35"/>
    </row>
  </sheetData>
  <sheetProtection selectLockedCells="1" selectUnlockedCells="1"/>
  <mergeCells count="38">
    <mergeCell ref="A1:B1"/>
    <mergeCell ref="A2:B2"/>
    <mergeCell ref="M1:O1"/>
    <mergeCell ref="A5:O5"/>
    <mergeCell ref="K6:K9"/>
    <mergeCell ref="A6:A11"/>
    <mergeCell ref="B6:B9"/>
    <mergeCell ref="C6:C9"/>
    <mergeCell ref="L6:L9"/>
    <mergeCell ref="F6:F9"/>
    <mergeCell ref="J6:J9"/>
    <mergeCell ref="I1:L1"/>
    <mergeCell ref="D6:D9"/>
    <mergeCell ref="E6:E9"/>
    <mergeCell ref="I2:L3"/>
    <mergeCell ref="M13:M16"/>
    <mergeCell ref="N13:N16"/>
    <mergeCell ref="A21:A27"/>
    <mergeCell ref="A29:A34"/>
    <mergeCell ref="H6:H9"/>
    <mergeCell ref="G6:G9"/>
    <mergeCell ref="I6:I9"/>
    <mergeCell ref="M6:M9"/>
    <mergeCell ref="N6:N9"/>
    <mergeCell ref="A13:A16"/>
    <mergeCell ref="L13:L16"/>
    <mergeCell ref="A17:A20"/>
    <mergeCell ref="D13:D16"/>
    <mergeCell ref="E13:E16"/>
    <mergeCell ref="A36:A38"/>
    <mergeCell ref="H13:H16"/>
    <mergeCell ref="I13:I16"/>
    <mergeCell ref="J13:J16"/>
    <mergeCell ref="K13:K16"/>
    <mergeCell ref="F13:F16"/>
    <mergeCell ref="G13:G16"/>
    <mergeCell ref="B13:B16"/>
    <mergeCell ref="C13:C16"/>
  </mergeCells>
  <hyperlinks>
    <hyperlink ref="D3" r:id="rId1" xr:uid="{00000000-0004-0000-0200-000000000000}"/>
  </hyperlinks>
  <pageMargins left="0.45" right="0.47013888888888888" top="0.62013888888888891" bottom="0.47013888888888888" header="0.51180555555555551" footer="0.51180555555555551"/>
  <pageSetup paperSize="9" scale="73" firstPageNumber="0" orientation="landscape" horizontalDpi="300" verticalDpi="3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R69"/>
  <sheetViews>
    <sheetView topLeftCell="B3" zoomScale="80" zoomScaleNormal="80" workbookViewId="0">
      <selection activeCell="A12" sqref="A12:XFD15"/>
    </sheetView>
  </sheetViews>
  <sheetFormatPr defaultColWidth="8.5546875" defaultRowHeight="15.6" x14ac:dyDescent="0.3"/>
  <cols>
    <col min="1" max="1" width="15.77734375" style="29" customWidth="1"/>
    <col min="2" max="2" width="24" style="29" customWidth="1"/>
    <col min="3" max="3" width="22.44140625" style="29" customWidth="1"/>
    <col min="4" max="4" width="25.77734375" style="29" customWidth="1"/>
    <col min="5" max="5" width="14.44140625" style="29" customWidth="1"/>
    <col min="6" max="6" width="14.21875" style="29" bestFit="1" customWidth="1"/>
    <col min="7" max="7" width="12.77734375" style="29" customWidth="1"/>
    <col min="8" max="8" width="14" style="29" customWidth="1"/>
    <col min="9" max="9" width="14.21875" style="29" customWidth="1"/>
    <col min="10" max="10" width="11.77734375" style="29" customWidth="1"/>
    <col min="11" max="11" width="12.77734375" style="29" customWidth="1"/>
    <col min="12" max="12" width="16.21875" style="29" customWidth="1"/>
    <col min="13" max="13" width="12.5546875" style="29" customWidth="1"/>
    <col min="14" max="15" width="17.5546875" style="29" customWidth="1"/>
    <col min="16" max="16" width="12" style="29" customWidth="1"/>
    <col min="17" max="17" width="8.5546875" style="29"/>
    <col min="18" max="18" width="12" style="29" customWidth="1"/>
    <col min="19" max="19" width="11.44140625" style="29" customWidth="1"/>
    <col min="20" max="21" width="12" style="29" customWidth="1"/>
    <col min="22" max="16384" width="8.5546875" style="29"/>
  </cols>
  <sheetData>
    <row r="1" spans="1:18" ht="16.2" x14ac:dyDescent="0.35">
      <c r="A1" s="298" t="s">
        <v>0</v>
      </c>
      <c r="B1" s="299"/>
      <c r="C1" s="180" t="s">
        <v>1</v>
      </c>
      <c r="D1" s="181"/>
      <c r="E1" s="36"/>
      <c r="F1" s="35"/>
      <c r="G1" s="35"/>
      <c r="H1" s="35"/>
      <c r="I1" s="259" t="s">
        <v>50</v>
      </c>
      <c r="J1" s="260"/>
      <c r="K1" s="260"/>
      <c r="L1" s="261"/>
      <c r="M1" s="276"/>
      <c r="N1" s="276"/>
      <c r="O1" s="276"/>
    </row>
    <row r="2" spans="1:18" ht="12.75" customHeight="1" x14ac:dyDescent="0.3">
      <c r="A2" s="300" t="s">
        <v>3</v>
      </c>
      <c r="B2" s="301"/>
      <c r="C2" s="176"/>
      <c r="D2" s="182"/>
      <c r="E2" s="36"/>
      <c r="F2" s="35"/>
      <c r="G2" s="35"/>
      <c r="H2" s="37"/>
      <c r="I2" s="289" t="s">
        <v>4</v>
      </c>
      <c r="J2" s="290"/>
      <c r="K2" s="290"/>
      <c r="L2" s="291"/>
      <c r="M2" s="35"/>
      <c r="N2" s="35"/>
      <c r="O2" s="35"/>
    </row>
    <row r="3" spans="1:18" ht="31.8" thickBot="1" x14ac:dyDescent="0.35">
      <c r="A3" s="183" t="s">
        <v>5</v>
      </c>
      <c r="B3" s="184" t="s">
        <v>6</v>
      </c>
      <c r="C3" s="184" t="s">
        <v>7</v>
      </c>
      <c r="D3" s="189" t="s">
        <v>8</v>
      </c>
      <c r="E3" s="36"/>
      <c r="F3" s="35"/>
      <c r="G3" s="35"/>
      <c r="H3" s="35"/>
      <c r="I3" s="292"/>
      <c r="J3" s="293"/>
      <c r="K3" s="293"/>
      <c r="L3" s="294"/>
      <c r="M3" s="35"/>
      <c r="N3" s="35"/>
      <c r="O3" s="35"/>
    </row>
    <row r="4" spans="1:18" ht="16.5" customHeight="1" x14ac:dyDescent="0.3">
      <c r="A4" s="38"/>
      <c r="B4" s="38"/>
      <c r="C4" s="38"/>
      <c r="D4" s="38"/>
      <c r="E4" s="38"/>
      <c r="F4" s="38"/>
      <c r="G4" s="38"/>
      <c r="H4" s="38"/>
      <c r="I4" s="38"/>
      <c r="J4" s="38"/>
      <c r="K4" s="38"/>
      <c r="L4" s="38"/>
      <c r="M4" s="39"/>
      <c r="N4" s="39"/>
      <c r="O4" s="39"/>
    </row>
    <row r="5" spans="1:18" ht="19.5" customHeight="1" x14ac:dyDescent="0.3">
      <c r="A5" s="277" t="s">
        <v>75</v>
      </c>
      <c r="B5" s="277"/>
      <c r="C5" s="277"/>
      <c r="D5" s="277"/>
      <c r="E5" s="277"/>
      <c r="F5" s="277"/>
      <c r="G5" s="277"/>
      <c r="H5" s="277"/>
      <c r="I5" s="277"/>
      <c r="J5" s="277"/>
      <c r="K5" s="277"/>
      <c r="L5" s="277"/>
      <c r="M5" s="277"/>
      <c r="N5" s="277"/>
      <c r="O5" s="277"/>
    </row>
    <row r="6" spans="1:18" ht="15" customHeight="1" x14ac:dyDescent="0.3">
      <c r="A6" s="268" t="s">
        <v>10</v>
      </c>
      <c r="B6" s="241" t="s">
        <v>63</v>
      </c>
      <c r="C6" s="241" t="s">
        <v>12</v>
      </c>
      <c r="D6" s="241" t="s">
        <v>13</v>
      </c>
      <c r="E6" s="241" t="s">
        <v>14</v>
      </c>
      <c r="F6" s="241" t="s">
        <v>15</v>
      </c>
      <c r="G6" s="241" t="s">
        <v>16</v>
      </c>
      <c r="H6" s="265" t="s">
        <v>17</v>
      </c>
      <c r="I6" s="241" t="s">
        <v>18</v>
      </c>
      <c r="J6" s="241" t="s">
        <v>19</v>
      </c>
      <c r="K6" s="241" t="s">
        <v>20</v>
      </c>
      <c r="L6" s="253" t="s">
        <v>21</v>
      </c>
      <c r="M6" s="262" t="s">
        <v>64</v>
      </c>
      <c r="N6" s="256" t="s">
        <v>65</v>
      </c>
    </row>
    <row r="7" spans="1:18" ht="15" customHeight="1" x14ac:dyDescent="0.3">
      <c r="A7" s="269"/>
      <c r="B7" s="242"/>
      <c r="C7" s="242"/>
      <c r="D7" s="242"/>
      <c r="E7" s="242"/>
      <c r="F7" s="242"/>
      <c r="G7" s="242"/>
      <c r="H7" s="266"/>
      <c r="I7" s="242"/>
      <c r="J7" s="242"/>
      <c r="K7" s="242"/>
      <c r="L7" s="254"/>
      <c r="M7" s="263"/>
      <c r="N7" s="257"/>
    </row>
    <row r="8" spans="1:18" ht="15" customHeight="1" x14ac:dyDescent="0.3">
      <c r="A8" s="269"/>
      <c r="B8" s="242"/>
      <c r="C8" s="242"/>
      <c r="D8" s="242"/>
      <c r="E8" s="242"/>
      <c r="F8" s="242"/>
      <c r="G8" s="242"/>
      <c r="H8" s="266"/>
      <c r="I8" s="242"/>
      <c r="J8" s="242"/>
      <c r="K8" s="242"/>
      <c r="L8" s="254"/>
      <c r="M8" s="263"/>
      <c r="N8" s="257"/>
    </row>
    <row r="9" spans="1:18" ht="15" customHeight="1" x14ac:dyDescent="0.3">
      <c r="A9" s="269"/>
      <c r="B9" s="243"/>
      <c r="C9" s="242"/>
      <c r="D9" s="243"/>
      <c r="E9" s="243"/>
      <c r="F9" s="243"/>
      <c r="G9" s="243"/>
      <c r="H9" s="267"/>
      <c r="I9" s="243"/>
      <c r="J9" s="243"/>
      <c r="K9" s="243"/>
      <c r="L9" s="255"/>
      <c r="M9" s="264"/>
      <c r="N9" s="258"/>
      <c r="P9" s="33"/>
    </row>
    <row r="10" spans="1:18" ht="18" customHeight="1" x14ac:dyDescent="0.3">
      <c r="A10" s="269"/>
      <c r="B10" s="236" t="s">
        <v>146</v>
      </c>
      <c r="C10" s="229">
        <f>4623.3*12</f>
        <v>55479.600000000006</v>
      </c>
      <c r="D10" s="230"/>
      <c r="E10" s="231">
        <f>23.12*12</f>
        <v>277.44</v>
      </c>
      <c r="F10" s="231"/>
      <c r="G10" s="232">
        <f>(C10+E10)/12</f>
        <v>4646.420000000001</v>
      </c>
      <c r="H10" s="233">
        <f>SUM(C10:G10)</f>
        <v>60403.460000000006</v>
      </c>
      <c r="I10" s="232">
        <f>H10*23.46%</f>
        <v>14170.651716000002</v>
      </c>
      <c r="J10" s="232">
        <f>H10*7.41%</f>
        <v>4475.8963860000003</v>
      </c>
      <c r="K10" s="232">
        <f>H10*8.5%</f>
        <v>5134.294100000001</v>
      </c>
      <c r="L10" s="237">
        <f>SUM(H10:K10)</f>
        <v>84184.302202000021</v>
      </c>
      <c r="M10" s="11"/>
      <c r="N10" s="28">
        <f>+L10*M10</f>
        <v>0</v>
      </c>
      <c r="P10" s="33"/>
    </row>
    <row r="11" spans="1:18" ht="18" customHeight="1" x14ac:dyDescent="0.3">
      <c r="A11" s="270"/>
      <c r="B11" s="236" t="s">
        <v>25</v>
      </c>
      <c r="C11" s="229">
        <f>3616.6*12</f>
        <v>43399.199999999997</v>
      </c>
      <c r="D11" s="234"/>
      <c r="E11" s="235">
        <f>18.08*12</f>
        <v>216.95999999999998</v>
      </c>
      <c r="F11" s="235"/>
      <c r="G11" s="232">
        <f>(C11+E11)/12</f>
        <v>3634.68</v>
      </c>
      <c r="H11" s="233">
        <f>SUM(C11:G11)</f>
        <v>47250.84</v>
      </c>
      <c r="I11" s="232">
        <f>H11*23.46%</f>
        <v>11085.047063999998</v>
      </c>
      <c r="J11" s="232">
        <f>H11*7.41%</f>
        <v>3501.2872439999996</v>
      </c>
      <c r="K11" s="232">
        <f>H11*8.5%</f>
        <v>4016.3213999999998</v>
      </c>
      <c r="L11" s="237">
        <f>SUM(H11:K11)</f>
        <v>65853.495707999988</v>
      </c>
      <c r="M11" s="14"/>
      <c r="N11" s="28">
        <f>+L11*M11</f>
        <v>0</v>
      </c>
      <c r="P11" s="34"/>
      <c r="R11" s="30"/>
    </row>
    <row r="12" spans="1:18" ht="14.25" customHeight="1" x14ac:dyDescent="0.3">
      <c r="A12" s="40"/>
      <c r="B12" s="41"/>
      <c r="C12" s="42"/>
      <c r="D12" s="43"/>
      <c r="E12" s="43"/>
      <c r="F12" s="43"/>
      <c r="G12" s="43"/>
      <c r="H12" s="43"/>
      <c r="I12" s="43"/>
      <c r="J12" s="43"/>
      <c r="K12" s="43"/>
      <c r="L12" s="43"/>
      <c r="M12" s="44"/>
      <c r="N12" s="43"/>
      <c r="P12" s="34"/>
      <c r="Q12" s="30"/>
      <c r="R12" s="30"/>
    </row>
    <row r="13" spans="1:18" ht="15" customHeight="1" x14ac:dyDescent="0.3">
      <c r="A13" s="268" t="s">
        <v>26</v>
      </c>
      <c r="B13" s="286" t="s">
        <v>66</v>
      </c>
      <c r="C13" s="241" t="s">
        <v>28</v>
      </c>
      <c r="D13" s="244"/>
      <c r="E13" s="241" t="s">
        <v>14</v>
      </c>
      <c r="F13" s="241" t="s">
        <v>15</v>
      </c>
      <c r="G13" s="241" t="s">
        <v>16</v>
      </c>
      <c r="H13" s="265" t="s">
        <v>17</v>
      </c>
      <c r="I13" s="241" t="s">
        <v>18</v>
      </c>
      <c r="J13" s="241" t="s">
        <v>19</v>
      </c>
      <c r="K13" s="241" t="s">
        <v>20</v>
      </c>
      <c r="L13" s="282" t="s">
        <v>21</v>
      </c>
      <c r="M13" s="295" t="s">
        <v>64</v>
      </c>
      <c r="N13" s="283" t="s">
        <v>65</v>
      </c>
      <c r="P13" s="34"/>
      <c r="Q13" s="30"/>
      <c r="R13" s="30"/>
    </row>
    <row r="14" spans="1:18" ht="15" customHeight="1" x14ac:dyDescent="0.3">
      <c r="A14" s="269"/>
      <c r="B14" s="287"/>
      <c r="C14" s="242"/>
      <c r="D14" s="245"/>
      <c r="E14" s="242"/>
      <c r="F14" s="242"/>
      <c r="G14" s="242"/>
      <c r="H14" s="266"/>
      <c r="I14" s="242"/>
      <c r="J14" s="242"/>
      <c r="K14" s="242"/>
      <c r="L14" s="282"/>
      <c r="M14" s="296"/>
      <c r="N14" s="283"/>
      <c r="Q14" s="30"/>
      <c r="R14" s="30"/>
    </row>
    <row r="15" spans="1:18" ht="15" customHeight="1" x14ac:dyDescent="0.3">
      <c r="A15" s="269"/>
      <c r="B15" s="287"/>
      <c r="C15" s="242"/>
      <c r="D15" s="245"/>
      <c r="E15" s="242"/>
      <c r="F15" s="242"/>
      <c r="G15" s="242"/>
      <c r="H15" s="266"/>
      <c r="I15" s="242"/>
      <c r="J15" s="242"/>
      <c r="K15" s="242"/>
      <c r="L15" s="282"/>
      <c r="M15" s="296"/>
      <c r="N15" s="283"/>
    </row>
    <row r="16" spans="1:18" ht="71.25" customHeight="1" x14ac:dyDescent="0.3">
      <c r="A16" s="270"/>
      <c r="B16" s="288"/>
      <c r="C16" s="243"/>
      <c r="D16" s="246"/>
      <c r="E16" s="243"/>
      <c r="F16" s="243"/>
      <c r="G16" s="243"/>
      <c r="H16" s="267"/>
      <c r="I16" s="243"/>
      <c r="J16" s="243"/>
      <c r="K16" s="243"/>
      <c r="L16" s="282"/>
      <c r="M16" s="297"/>
      <c r="N16" s="283"/>
      <c r="R16" s="30"/>
    </row>
    <row r="17" spans="1:15" x14ac:dyDescent="0.3">
      <c r="A17" s="268" t="s">
        <v>31</v>
      </c>
      <c r="B17" s="23" t="s">
        <v>32</v>
      </c>
      <c r="C17" s="26">
        <v>44674.87</v>
      </c>
      <c r="D17" s="58"/>
      <c r="E17" s="25">
        <f>+ROUND(C17/12*0.005,2)*12</f>
        <v>223.32</v>
      </c>
      <c r="F17" s="109"/>
      <c r="G17" s="110">
        <f>+ROUND((C17+E17+F17)/12,2)</f>
        <v>3741.52</v>
      </c>
      <c r="H17" s="111">
        <f t="shared" ref="H17:H27" si="0">+G17+E17+C17</f>
        <v>48639.710000000006</v>
      </c>
      <c r="I17" s="26">
        <f>H17*23.46%</f>
        <v>11410.875966000001</v>
      </c>
      <c r="J17" s="26">
        <f>H17*7.41%</f>
        <v>3604.2025110000004</v>
      </c>
      <c r="K17" s="113">
        <f t="shared" ref="K17:K27" si="1">H17*8.5%</f>
        <v>4134.3753500000012</v>
      </c>
      <c r="L17" s="45">
        <f>+H17+I17+J17+K17</f>
        <v>67789.163827000011</v>
      </c>
      <c r="M17" s="47"/>
      <c r="N17" s="28">
        <f t="shared" ref="N17:N22" si="2">+L17*M17</f>
        <v>0</v>
      </c>
    </row>
    <row r="18" spans="1:15" x14ac:dyDescent="0.3">
      <c r="A18" s="269"/>
      <c r="B18" s="23" t="s">
        <v>33</v>
      </c>
      <c r="C18" s="26">
        <v>40560.15</v>
      </c>
      <c r="D18" s="58"/>
      <c r="E18" s="25">
        <f>+ROUND(C18/12*0.005,2)*12</f>
        <v>202.79999999999998</v>
      </c>
      <c r="F18" s="109"/>
      <c r="G18" s="110">
        <f>+ROUND((C18+E18+F18)/12,2)</f>
        <v>3396.91</v>
      </c>
      <c r="H18" s="111">
        <f t="shared" si="0"/>
        <v>44159.86</v>
      </c>
      <c r="I18" s="26">
        <f t="shared" ref="I18:I38" si="3">H18*23.46%</f>
        <v>10359.903156</v>
      </c>
      <c r="J18" s="26">
        <f t="shared" ref="J18:J38" si="4">H18*7.41%</f>
        <v>3272.2456259999999</v>
      </c>
      <c r="K18" s="113">
        <f t="shared" si="1"/>
        <v>3753.5881000000004</v>
      </c>
      <c r="L18" s="45">
        <f>+H18+I18+J18+K18</f>
        <v>61545.596882000005</v>
      </c>
      <c r="M18" s="47"/>
      <c r="N18" s="28">
        <f t="shared" si="2"/>
        <v>0</v>
      </c>
    </row>
    <row r="19" spans="1:15" x14ac:dyDescent="0.3">
      <c r="A19" s="269"/>
      <c r="B19" s="23" t="s">
        <v>34</v>
      </c>
      <c r="C19" s="26">
        <v>34480.639999999999</v>
      </c>
      <c r="D19" s="58"/>
      <c r="E19" s="25">
        <f>+ROUND(C19/12*0.005,2)*12</f>
        <v>172.44</v>
      </c>
      <c r="F19" s="109"/>
      <c r="G19" s="110">
        <f>+ROUND((C19+E19+F19)/12,2)</f>
        <v>2887.76</v>
      </c>
      <c r="H19" s="111">
        <f t="shared" si="0"/>
        <v>37540.839999999997</v>
      </c>
      <c r="I19" s="26">
        <f t="shared" si="3"/>
        <v>8807.081064</v>
      </c>
      <c r="J19" s="26">
        <f t="shared" si="4"/>
        <v>2781.7762439999997</v>
      </c>
      <c r="K19" s="113">
        <f t="shared" si="1"/>
        <v>3190.9713999999999</v>
      </c>
      <c r="L19" s="45">
        <f>+H19+I19+J19+K19</f>
        <v>52320.668707999997</v>
      </c>
      <c r="M19" s="47"/>
      <c r="N19" s="28">
        <f t="shared" si="2"/>
        <v>0</v>
      </c>
    </row>
    <row r="20" spans="1:15" x14ac:dyDescent="0.3">
      <c r="A20" s="270"/>
      <c r="B20" s="23" t="s">
        <v>35</v>
      </c>
      <c r="C20" s="26">
        <v>32491.32</v>
      </c>
      <c r="D20" s="58"/>
      <c r="E20" s="25">
        <f>+ROUND(C20/12*0.005,2)*12</f>
        <v>162.47999999999999</v>
      </c>
      <c r="F20" s="109"/>
      <c r="G20" s="110">
        <f>+ROUND((C20+E20+F20)/12,2)</f>
        <v>2721.15</v>
      </c>
      <c r="H20" s="111">
        <f t="shared" si="0"/>
        <v>35374.949999999997</v>
      </c>
      <c r="I20" s="26">
        <f t="shared" si="3"/>
        <v>8298.9632700000002</v>
      </c>
      <c r="J20" s="26">
        <f t="shared" si="4"/>
        <v>2621.2837949999998</v>
      </c>
      <c r="K20" s="113">
        <f t="shared" si="1"/>
        <v>3006.87075</v>
      </c>
      <c r="L20" s="45">
        <f>+H20+I20+J20+K20</f>
        <v>49302.067815000002</v>
      </c>
      <c r="M20" s="47">
        <v>3</v>
      </c>
      <c r="N20" s="28">
        <f t="shared" si="2"/>
        <v>147906.20344499999</v>
      </c>
    </row>
    <row r="21" spans="1:15" ht="15.75" customHeight="1" x14ac:dyDescent="0.3">
      <c r="A21" s="268" t="s">
        <v>36</v>
      </c>
      <c r="B21" s="23" t="s">
        <v>34</v>
      </c>
      <c r="C21" s="24">
        <v>33614.480000000003</v>
      </c>
      <c r="D21" s="58"/>
      <c r="E21" s="25">
        <f>+ROUND(C21/12*0.005,2)*12</f>
        <v>168.12</v>
      </c>
      <c r="F21" s="109"/>
      <c r="G21" s="110">
        <f>+ROUND((C21+E21+F21)/12,2)</f>
        <v>2815.22</v>
      </c>
      <c r="H21" s="111">
        <f t="shared" si="0"/>
        <v>36597.82</v>
      </c>
      <c r="I21" s="26">
        <f t="shared" si="3"/>
        <v>8585.8485720000008</v>
      </c>
      <c r="J21" s="26">
        <f t="shared" si="4"/>
        <v>2711.8984620000001</v>
      </c>
      <c r="K21" s="113">
        <f t="shared" si="1"/>
        <v>3110.8147000000004</v>
      </c>
      <c r="L21" s="45">
        <f>+H21+I21+J21+K21</f>
        <v>51006.381734000002</v>
      </c>
      <c r="M21" s="47"/>
      <c r="N21" s="28">
        <f t="shared" si="2"/>
        <v>0</v>
      </c>
    </row>
    <row r="22" spans="1:15" x14ac:dyDescent="0.3">
      <c r="A22" s="269"/>
      <c r="B22" s="23" t="s">
        <v>35</v>
      </c>
      <c r="C22" s="24">
        <v>31641</v>
      </c>
      <c r="D22" s="58"/>
      <c r="E22" s="25">
        <f t="shared" ref="E22:E38" si="5">+ROUND(C22/12*0.005,2)*12</f>
        <v>158.16</v>
      </c>
      <c r="F22" s="109"/>
      <c r="G22" s="110">
        <f t="shared" ref="G22:G38" si="6">+ROUND((C22+E22+F22)/12,2)</f>
        <v>2649.93</v>
      </c>
      <c r="H22" s="111">
        <f t="shared" si="0"/>
        <v>34449.089999999997</v>
      </c>
      <c r="I22" s="26">
        <f t="shared" si="3"/>
        <v>8081.7565139999997</v>
      </c>
      <c r="J22" s="26">
        <f t="shared" si="4"/>
        <v>2552.6775689999995</v>
      </c>
      <c r="K22" s="113">
        <f t="shared" si="1"/>
        <v>2928.17265</v>
      </c>
      <c r="L22" s="45">
        <f t="shared" ref="L22:L38" si="7">+H22+I22+J22+K22</f>
        <v>48011.696732999997</v>
      </c>
      <c r="M22" s="47"/>
      <c r="N22" s="28">
        <f t="shared" si="2"/>
        <v>0</v>
      </c>
    </row>
    <row r="23" spans="1:15" x14ac:dyDescent="0.3">
      <c r="A23" s="269"/>
      <c r="B23" s="23" t="s">
        <v>37</v>
      </c>
      <c r="C23" s="24">
        <v>29655.67</v>
      </c>
      <c r="D23" s="58"/>
      <c r="E23" s="25">
        <f t="shared" si="5"/>
        <v>148.32</v>
      </c>
      <c r="F23" s="109"/>
      <c r="G23" s="110">
        <f t="shared" si="6"/>
        <v>2483.67</v>
      </c>
      <c r="H23" s="111">
        <f t="shared" si="0"/>
        <v>32287.66</v>
      </c>
      <c r="I23" s="26">
        <f t="shared" si="3"/>
        <v>7574.6850359999999</v>
      </c>
      <c r="J23" s="26">
        <f t="shared" si="4"/>
        <v>2392.5156059999999</v>
      </c>
      <c r="K23" s="113">
        <f t="shared" si="1"/>
        <v>2744.4511000000002</v>
      </c>
      <c r="L23" s="45">
        <f t="shared" si="7"/>
        <v>44999.311741999998</v>
      </c>
      <c r="M23" s="47"/>
      <c r="N23" s="28">
        <f>+L23*M23</f>
        <v>0</v>
      </c>
    </row>
    <row r="24" spans="1:15" x14ac:dyDescent="0.3">
      <c r="A24" s="269"/>
      <c r="B24" s="23" t="s">
        <v>38</v>
      </c>
      <c r="C24" s="24">
        <v>27858.84</v>
      </c>
      <c r="D24" s="59"/>
      <c r="E24" s="25">
        <f t="shared" si="5"/>
        <v>139.32</v>
      </c>
      <c r="F24" s="114"/>
      <c r="G24" s="110">
        <f t="shared" si="6"/>
        <v>2333.1799999999998</v>
      </c>
      <c r="H24" s="111">
        <f t="shared" si="0"/>
        <v>30331.34</v>
      </c>
      <c r="I24" s="26">
        <f t="shared" si="3"/>
        <v>7115.7323640000004</v>
      </c>
      <c r="J24" s="26">
        <f t="shared" si="4"/>
        <v>2247.5522940000001</v>
      </c>
      <c r="K24" s="113">
        <f t="shared" si="1"/>
        <v>2578.1639</v>
      </c>
      <c r="L24" s="45">
        <f t="shared" si="7"/>
        <v>42272.788558</v>
      </c>
      <c r="M24" s="47"/>
      <c r="N24" s="28">
        <f>+L24*M24</f>
        <v>0</v>
      </c>
    </row>
    <row r="25" spans="1:15" x14ac:dyDescent="0.3">
      <c r="A25" s="269"/>
      <c r="B25" s="23" t="s">
        <v>39</v>
      </c>
      <c r="C25" s="24">
        <v>25373.64</v>
      </c>
      <c r="D25" s="59"/>
      <c r="E25" s="25">
        <f t="shared" si="5"/>
        <v>126.84</v>
      </c>
      <c r="F25" s="114"/>
      <c r="G25" s="110">
        <f t="shared" si="6"/>
        <v>2125.04</v>
      </c>
      <c r="H25" s="111">
        <f t="shared" si="0"/>
        <v>27625.52</v>
      </c>
      <c r="I25" s="26">
        <f t="shared" si="3"/>
        <v>6480.9469920000001</v>
      </c>
      <c r="J25" s="26">
        <f t="shared" si="4"/>
        <v>2047.0510320000001</v>
      </c>
      <c r="K25" s="113">
        <f t="shared" si="1"/>
        <v>2348.1692000000003</v>
      </c>
      <c r="L25" s="45">
        <f t="shared" si="7"/>
        <v>38501.687224000008</v>
      </c>
      <c r="M25" s="47"/>
      <c r="N25" s="28">
        <f>+L25*M25</f>
        <v>0</v>
      </c>
    </row>
    <row r="26" spans="1:15" x14ac:dyDescent="0.3">
      <c r="A26" s="269"/>
      <c r="B26" s="23" t="s">
        <v>40</v>
      </c>
      <c r="C26" s="24">
        <v>24104.21</v>
      </c>
      <c r="D26" s="59"/>
      <c r="E26" s="25">
        <f t="shared" si="5"/>
        <v>120.47999999999999</v>
      </c>
      <c r="F26" s="114"/>
      <c r="G26" s="110">
        <f t="shared" si="6"/>
        <v>2018.72</v>
      </c>
      <c r="H26" s="111">
        <f t="shared" si="0"/>
        <v>26243.41</v>
      </c>
      <c r="I26" s="26">
        <f t="shared" si="3"/>
        <v>6156.7039860000004</v>
      </c>
      <c r="J26" s="26">
        <f t="shared" si="4"/>
        <v>1944.636681</v>
      </c>
      <c r="K26" s="113">
        <f t="shared" si="1"/>
        <v>2230.6898500000002</v>
      </c>
      <c r="L26" s="45">
        <f t="shared" si="7"/>
        <v>36575.440517000003</v>
      </c>
      <c r="M26" s="47"/>
      <c r="N26" s="28">
        <f>+L26*M26</f>
        <v>0</v>
      </c>
    </row>
    <row r="27" spans="1:15" x14ac:dyDescent="0.3">
      <c r="A27" s="269"/>
      <c r="B27" s="23" t="s">
        <v>41</v>
      </c>
      <c r="C27" s="24">
        <v>23299.78</v>
      </c>
      <c r="D27" s="59"/>
      <c r="E27" s="25">
        <f t="shared" si="5"/>
        <v>116.52000000000001</v>
      </c>
      <c r="F27" s="114"/>
      <c r="G27" s="110">
        <f t="shared" si="6"/>
        <v>1951.36</v>
      </c>
      <c r="H27" s="111">
        <f t="shared" si="0"/>
        <v>25367.66</v>
      </c>
      <c r="I27" s="26">
        <f>H27*23.46%</f>
        <v>5951.2530360000001</v>
      </c>
      <c r="J27" s="26">
        <f>H27*7.41%</f>
        <v>1879.743606</v>
      </c>
      <c r="K27" s="113">
        <f t="shared" si="1"/>
        <v>2156.2511</v>
      </c>
      <c r="L27" s="45">
        <f t="shared" si="7"/>
        <v>35354.907742000003</v>
      </c>
      <c r="M27" s="47">
        <v>3</v>
      </c>
      <c r="N27" s="28">
        <f>+L27*M27</f>
        <v>106064.723226</v>
      </c>
      <c r="O27" s="30"/>
    </row>
    <row r="28" spans="1:15" x14ac:dyDescent="0.3">
      <c r="A28" s="121"/>
      <c r="B28" s="69"/>
      <c r="C28" s="61"/>
      <c r="D28" s="60"/>
      <c r="E28" s="63"/>
      <c r="F28" s="115"/>
      <c r="G28" s="116"/>
      <c r="H28" s="117"/>
      <c r="I28" s="164"/>
      <c r="J28" s="164"/>
      <c r="K28" s="118"/>
      <c r="L28" s="126"/>
      <c r="M28" s="64"/>
      <c r="N28" s="65"/>
      <c r="O28" s="30"/>
    </row>
    <row r="29" spans="1:15" ht="17.100000000000001" customHeight="1" x14ac:dyDescent="0.3">
      <c r="A29" s="269" t="s">
        <v>42</v>
      </c>
      <c r="B29" s="31" t="s">
        <v>35</v>
      </c>
      <c r="C29" s="24">
        <v>24043.33</v>
      </c>
      <c r="D29" s="59"/>
      <c r="E29" s="25">
        <f t="shared" si="5"/>
        <v>120.24</v>
      </c>
      <c r="F29" s="114"/>
      <c r="G29" s="110">
        <f t="shared" si="6"/>
        <v>2013.63</v>
      </c>
      <c r="H29" s="111">
        <f t="shared" ref="H29:H34" si="8">+G29+E29+C29</f>
        <v>26177.200000000001</v>
      </c>
      <c r="I29" s="26">
        <f t="shared" si="3"/>
        <v>6141.17112</v>
      </c>
      <c r="J29" s="26">
        <f t="shared" si="4"/>
        <v>1939.7305200000001</v>
      </c>
      <c r="K29" s="113">
        <f t="shared" ref="K29:K34" si="9">H29*8.5%</f>
        <v>2225.0620000000004</v>
      </c>
      <c r="L29" s="45">
        <f t="shared" si="7"/>
        <v>36483.163639999999</v>
      </c>
      <c r="M29" s="47"/>
      <c r="N29" s="28">
        <f t="shared" ref="N29:N38" si="10">+L29*M29</f>
        <v>0</v>
      </c>
      <c r="O29" s="30"/>
    </row>
    <row r="30" spans="1:15" x14ac:dyDescent="0.3">
      <c r="A30" s="269"/>
      <c r="B30" s="31" t="s">
        <v>37</v>
      </c>
      <c r="C30" s="24">
        <v>23386.86</v>
      </c>
      <c r="D30" s="59"/>
      <c r="E30" s="25">
        <f t="shared" si="5"/>
        <v>116.88</v>
      </c>
      <c r="F30" s="114"/>
      <c r="G30" s="110">
        <f t="shared" si="6"/>
        <v>1958.65</v>
      </c>
      <c r="H30" s="111">
        <f t="shared" si="8"/>
        <v>25462.39</v>
      </c>
      <c r="I30" s="26">
        <f t="shared" si="3"/>
        <v>5973.476694</v>
      </c>
      <c r="J30" s="26">
        <f t="shared" si="4"/>
        <v>1886.763099</v>
      </c>
      <c r="K30" s="113">
        <f t="shared" si="9"/>
        <v>2164.3031500000002</v>
      </c>
      <c r="L30" s="45">
        <f t="shared" si="7"/>
        <v>35486.932943</v>
      </c>
      <c r="M30" s="47"/>
      <c r="N30" s="28">
        <f t="shared" si="10"/>
        <v>0</v>
      </c>
      <c r="O30" s="30"/>
    </row>
    <row r="31" spans="1:15" x14ac:dyDescent="0.3">
      <c r="A31" s="269"/>
      <c r="B31" s="31" t="s">
        <v>38</v>
      </c>
      <c r="C31" s="24">
        <v>22793.040000000001</v>
      </c>
      <c r="D31" s="59"/>
      <c r="E31" s="25">
        <f t="shared" si="5"/>
        <v>114</v>
      </c>
      <c r="F31" s="114"/>
      <c r="G31" s="110">
        <f t="shared" si="6"/>
        <v>1908.92</v>
      </c>
      <c r="H31" s="111">
        <f t="shared" si="8"/>
        <v>24815.96</v>
      </c>
      <c r="I31" s="26">
        <f t="shared" si="3"/>
        <v>5821.824216</v>
      </c>
      <c r="J31" s="26">
        <f t="shared" si="4"/>
        <v>1838.8626359999998</v>
      </c>
      <c r="K31" s="113">
        <f t="shared" si="9"/>
        <v>2109.3566000000001</v>
      </c>
      <c r="L31" s="45">
        <f t="shared" si="7"/>
        <v>34586.003451999997</v>
      </c>
      <c r="M31" s="47"/>
      <c r="N31" s="28">
        <f t="shared" si="10"/>
        <v>0</v>
      </c>
      <c r="O31" s="30"/>
    </row>
    <row r="32" spans="1:15" x14ac:dyDescent="0.3">
      <c r="A32" s="269"/>
      <c r="B32" s="31" t="s">
        <v>39</v>
      </c>
      <c r="C32" s="24">
        <v>21449.360000000001</v>
      </c>
      <c r="D32" s="59"/>
      <c r="E32" s="25">
        <f t="shared" si="5"/>
        <v>107.28</v>
      </c>
      <c r="F32" s="114"/>
      <c r="G32" s="110">
        <f t="shared" si="6"/>
        <v>1796.39</v>
      </c>
      <c r="H32" s="111">
        <f t="shared" si="8"/>
        <v>23353.03</v>
      </c>
      <c r="I32" s="26">
        <f t="shared" si="3"/>
        <v>5478.6208379999998</v>
      </c>
      <c r="J32" s="26">
        <f t="shared" si="4"/>
        <v>1730.459523</v>
      </c>
      <c r="K32" s="113">
        <f t="shared" si="9"/>
        <v>1985.00755</v>
      </c>
      <c r="L32" s="45">
        <f t="shared" si="7"/>
        <v>32547.117910999998</v>
      </c>
      <c r="M32" s="47"/>
      <c r="N32" s="28">
        <f t="shared" si="10"/>
        <v>0</v>
      </c>
      <c r="O32" s="30"/>
    </row>
    <row r="33" spans="1:18" ht="15" customHeight="1" x14ac:dyDescent="0.3">
      <c r="A33" s="269"/>
      <c r="B33" s="31" t="s">
        <v>40</v>
      </c>
      <c r="C33" s="24">
        <v>20167.03</v>
      </c>
      <c r="D33" s="59"/>
      <c r="E33" s="25">
        <f t="shared" si="5"/>
        <v>100.80000000000001</v>
      </c>
      <c r="F33" s="114"/>
      <c r="G33" s="110">
        <f t="shared" si="6"/>
        <v>1688.99</v>
      </c>
      <c r="H33" s="111">
        <f t="shared" si="8"/>
        <v>21956.82</v>
      </c>
      <c r="I33" s="26">
        <f t="shared" si="3"/>
        <v>5151.0699720000002</v>
      </c>
      <c r="J33" s="26">
        <f t="shared" si="4"/>
        <v>1627.000362</v>
      </c>
      <c r="K33" s="113">
        <f t="shared" si="9"/>
        <v>1866.3297</v>
      </c>
      <c r="L33" s="45">
        <f t="shared" si="7"/>
        <v>30601.220033999998</v>
      </c>
      <c r="M33" s="47"/>
      <c r="N33" s="28">
        <f t="shared" si="10"/>
        <v>0</v>
      </c>
      <c r="R33" s="32"/>
    </row>
    <row r="34" spans="1:18" ht="15" customHeight="1" x14ac:dyDescent="0.3">
      <c r="A34" s="269"/>
      <c r="B34" s="31" t="s">
        <v>41</v>
      </c>
      <c r="C34" s="24">
        <v>19202.04</v>
      </c>
      <c r="D34" s="59"/>
      <c r="E34" s="25">
        <f t="shared" si="5"/>
        <v>96</v>
      </c>
      <c r="F34" s="114"/>
      <c r="G34" s="110">
        <f t="shared" si="6"/>
        <v>1608.17</v>
      </c>
      <c r="H34" s="111">
        <f t="shared" si="8"/>
        <v>20906.21</v>
      </c>
      <c r="I34" s="26">
        <f t="shared" si="3"/>
        <v>4904.5968659999999</v>
      </c>
      <c r="J34" s="26">
        <f t="shared" si="4"/>
        <v>1549.150161</v>
      </c>
      <c r="K34" s="113">
        <f t="shared" si="9"/>
        <v>1777.0278499999999</v>
      </c>
      <c r="L34" s="45">
        <f t="shared" si="7"/>
        <v>29136.984876999999</v>
      </c>
      <c r="M34" s="47"/>
      <c r="N34" s="28">
        <f t="shared" si="10"/>
        <v>0</v>
      </c>
      <c r="R34" s="32"/>
    </row>
    <row r="35" spans="1:18" ht="15" customHeight="1" x14ac:dyDescent="0.3">
      <c r="A35" s="121"/>
      <c r="B35" s="120"/>
      <c r="C35" s="62"/>
      <c r="D35" s="61"/>
      <c r="E35" s="60"/>
      <c r="F35" s="115"/>
      <c r="G35" s="119"/>
      <c r="H35" s="117"/>
      <c r="I35" s="164"/>
      <c r="J35" s="164"/>
      <c r="K35" s="64"/>
      <c r="L35" s="65"/>
      <c r="M35" s="64"/>
      <c r="N35" s="65"/>
      <c r="R35" s="32"/>
    </row>
    <row r="36" spans="1:18" ht="15" customHeight="1" x14ac:dyDescent="0.3">
      <c r="A36" s="269" t="s">
        <v>43</v>
      </c>
      <c r="B36" s="31" t="s">
        <v>39</v>
      </c>
      <c r="C36" s="24">
        <v>19550.650000000001</v>
      </c>
      <c r="D36" s="59"/>
      <c r="E36" s="25">
        <f t="shared" si="5"/>
        <v>97.800000000000011</v>
      </c>
      <c r="F36" s="114"/>
      <c r="G36" s="110">
        <f t="shared" si="6"/>
        <v>1637.37</v>
      </c>
      <c r="H36" s="111">
        <f>+G36+E36+C36</f>
        <v>21285.82</v>
      </c>
      <c r="I36" s="26">
        <f t="shared" si="3"/>
        <v>4993.6533719999998</v>
      </c>
      <c r="J36" s="26">
        <f t="shared" si="4"/>
        <v>1577.279262</v>
      </c>
      <c r="K36" s="113">
        <f>H36*8.5%</f>
        <v>1809.2947000000001</v>
      </c>
      <c r="L36" s="45">
        <f t="shared" si="7"/>
        <v>29666.047333999999</v>
      </c>
      <c r="M36" s="49"/>
      <c r="N36" s="28">
        <f t="shared" si="10"/>
        <v>0</v>
      </c>
      <c r="R36" s="32"/>
    </row>
    <row r="37" spans="1:18" x14ac:dyDescent="0.3">
      <c r="A37" s="269"/>
      <c r="B37" s="31" t="s">
        <v>40</v>
      </c>
      <c r="C37" s="24">
        <v>18864.71</v>
      </c>
      <c r="D37" s="59"/>
      <c r="E37" s="25">
        <f t="shared" si="5"/>
        <v>94.320000000000007</v>
      </c>
      <c r="F37" s="114"/>
      <c r="G37" s="110">
        <f t="shared" si="6"/>
        <v>1579.92</v>
      </c>
      <c r="H37" s="111">
        <f>+G37+E37+C37</f>
        <v>20538.95</v>
      </c>
      <c r="I37" s="26">
        <f t="shared" si="3"/>
        <v>4818.4376700000003</v>
      </c>
      <c r="J37" s="26">
        <f t="shared" si="4"/>
        <v>1521.936195</v>
      </c>
      <c r="K37" s="113">
        <f>H37*8.5%</f>
        <v>1745.8107500000001</v>
      </c>
      <c r="L37" s="45">
        <f t="shared" si="7"/>
        <v>28625.134614999999</v>
      </c>
      <c r="M37" s="49"/>
      <c r="N37" s="28">
        <f t="shared" si="10"/>
        <v>0</v>
      </c>
    </row>
    <row r="38" spans="1:18" x14ac:dyDescent="0.3">
      <c r="A38" s="269"/>
      <c r="B38" s="31" t="s">
        <v>41</v>
      </c>
      <c r="C38" s="24">
        <v>18243.61</v>
      </c>
      <c r="D38" s="59"/>
      <c r="E38" s="25">
        <f t="shared" si="5"/>
        <v>91.199999999999989</v>
      </c>
      <c r="F38" s="114"/>
      <c r="G38" s="110">
        <f t="shared" si="6"/>
        <v>1527.9</v>
      </c>
      <c r="H38" s="111">
        <f>+G38+E38+C38</f>
        <v>19862.71</v>
      </c>
      <c r="I38" s="26">
        <f t="shared" si="3"/>
        <v>4659.7917660000003</v>
      </c>
      <c r="J38" s="26">
        <f t="shared" si="4"/>
        <v>1471.8268109999999</v>
      </c>
      <c r="K38" s="113">
        <f>H38*8.5%</f>
        <v>1688.33035</v>
      </c>
      <c r="L38" s="45">
        <f t="shared" si="7"/>
        <v>27682.658927</v>
      </c>
      <c r="M38" s="51"/>
      <c r="N38" s="28">
        <f t="shared" si="10"/>
        <v>0</v>
      </c>
    </row>
    <row r="39" spans="1:18" x14ac:dyDescent="0.3">
      <c r="A39" s="70"/>
      <c r="B39" s="69"/>
      <c r="C39" s="61"/>
      <c r="D39" s="60"/>
      <c r="E39" s="63"/>
      <c r="F39" s="63"/>
      <c r="G39" s="61"/>
      <c r="H39" s="64"/>
      <c r="I39" s="64"/>
      <c r="J39" s="64"/>
      <c r="K39" s="68"/>
      <c r="L39" s="68"/>
      <c r="M39" s="64"/>
      <c r="N39" s="65"/>
    </row>
    <row r="40" spans="1:18" ht="16.2" x14ac:dyDescent="0.35">
      <c r="A40" s="35"/>
      <c r="B40" s="52"/>
      <c r="C40" s="103"/>
      <c r="D40" s="54"/>
      <c r="E40" s="104"/>
      <c r="F40" s="104"/>
      <c r="G40" s="103"/>
      <c r="H40" s="54"/>
      <c r="I40" s="54"/>
      <c r="J40" s="105" t="s">
        <v>67</v>
      </c>
      <c r="K40" s="98" t="s">
        <v>68</v>
      </c>
      <c r="L40" s="102"/>
      <c r="M40" s="99">
        <f>+M10</f>
        <v>0</v>
      </c>
      <c r="N40" s="100">
        <f>+N10</f>
        <v>0</v>
      </c>
    </row>
    <row r="41" spans="1:18" ht="18" customHeight="1" x14ac:dyDescent="0.35">
      <c r="A41" s="35"/>
      <c r="B41" s="35"/>
      <c r="C41" s="35"/>
      <c r="D41" s="35"/>
      <c r="E41" s="52"/>
      <c r="F41" s="52"/>
      <c r="G41" s="35"/>
      <c r="H41" s="35"/>
      <c r="I41" s="35"/>
      <c r="J41" s="105" t="s">
        <v>67</v>
      </c>
      <c r="K41" s="98" t="s">
        <v>69</v>
      </c>
      <c r="L41" s="102"/>
      <c r="M41" s="101"/>
      <c r="N41" s="101">
        <f>+SUM(N11:N38)</f>
        <v>253970.92667099999</v>
      </c>
    </row>
    <row r="42" spans="1:18" ht="18.75" customHeight="1" x14ac:dyDescent="0.3">
      <c r="K42" s="98" t="s">
        <v>70</v>
      </c>
      <c r="L42" s="98"/>
      <c r="M42" s="98">
        <f>SUM(M10:M41)</f>
        <v>6</v>
      </c>
      <c r="N42" s="98">
        <f>+SUM(N10:N38)</f>
        <v>253970.92667099999</v>
      </c>
      <c r="P42" s="35"/>
    </row>
    <row r="43" spans="1:18" x14ac:dyDescent="0.3">
      <c r="A43" s="35" t="s">
        <v>71</v>
      </c>
      <c r="B43" s="35"/>
      <c r="C43" s="35"/>
      <c r="D43" s="35"/>
      <c r="E43" s="35"/>
      <c r="F43" s="35"/>
      <c r="G43" s="35"/>
      <c r="H43" s="35"/>
      <c r="I43" s="35"/>
      <c r="J43" s="35"/>
      <c r="K43" s="35"/>
      <c r="L43" s="35"/>
      <c r="M43" s="35"/>
      <c r="N43" s="35"/>
    </row>
    <row r="44" spans="1:18" x14ac:dyDescent="0.3">
      <c r="A44" s="122"/>
      <c r="B44" s="122"/>
      <c r="C44" s="122"/>
      <c r="D44" s="122"/>
      <c r="E44" s="122"/>
      <c r="F44" s="122"/>
      <c r="G44" s="122"/>
      <c r="H44" s="122"/>
      <c r="I44" s="122"/>
      <c r="J44" s="122"/>
      <c r="K44" s="122"/>
      <c r="L44" s="122"/>
      <c r="M44" s="122"/>
      <c r="N44" s="122"/>
      <c r="O44" s="123"/>
    </row>
    <row r="45" spans="1:18" x14ac:dyDescent="0.3">
      <c r="A45" s="122" t="s">
        <v>72</v>
      </c>
      <c r="B45" s="122"/>
      <c r="C45" s="122"/>
      <c r="D45" s="122"/>
      <c r="E45" s="122"/>
      <c r="F45" s="122"/>
      <c r="G45" s="122"/>
      <c r="H45" s="122"/>
      <c r="I45" s="122"/>
      <c r="J45" s="122"/>
      <c r="K45" s="122"/>
      <c r="L45" s="122"/>
      <c r="M45" s="122"/>
      <c r="N45" s="122"/>
      <c r="O45" s="123"/>
    </row>
    <row r="46" spans="1:18" x14ac:dyDescent="0.3">
      <c r="A46" s="122" t="s">
        <v>73</v>
      </c>
      <c r="B46" s="122"/>
      <c r="C46" s="122"/>
      <c r="D46" s="122"/>
      <c r="E46" s="122"/>
      <c r="F46" s="122"/>
      <c r="G46" s="122"/>
      <c r="H46" s="122"/>
      <c r="I46" s="122"/>
      <c r="J46" s="122"/>
      <c r="K46" s="122"/>
      <c r="L46" s="122"/>
      <c r="M46" s="122"/>
      <c r="N46" s="122"/>
      <c r="O46" s="123"/>
    </row>
    <row r="47" spans="1:18" x14ac:dyDescent="0.3">
      <c r="A47" s="35"/>
      <c r="B47" s="35"/>
      <c r="C47" s="35"/>
      <c r="D47" s="35"/>
      <c r="E47" s="35"/>
      <c r="F47" s="35"/>
      <c r="G47" s="35"/>
      <c r="H47" s="35"/>
      <c r="I47" s="35"/>
      <c r="J47" s="35"/>
      <c r="K47" s="35"/>
      <c r="L47" s="35"/>
      <c r="M47" s="35"/>
      <c r="N47" s="35"/>
    </row>
    <row r="48" spans="1:18" x14ac:dyDescent="0.3">
      <c r="A48" s="35" t="s">
        <v>74</v>
      </c>
      <c r="B48" s="35"/>
      <c r="C48" s="35"/>
      <c r="D48" s="35"/>
      <c r="E48" s="35"/>
      <c r="F48" s="35"/>
      <c r="G48" s="35"/>
      <c r="I48" s="35"/>
      <c r="J48" s="35"/>
      <c r="K48" s="35"/>
      <c r="L48" s="35"/>
      <c r="M48" s="35"/>
      <c r="N48" s="35"/>
    </row>
    <row r="49" spans="1:15" x14ac:dyDescent="0.3">
      <c r="A49" s="35"/>
      <c r="B49" s="35"/>
      <c r="C49" s="35"/>
      <c r="D49" s="35"/>
      <c r="E49" s="35"/>
      <c r="F49" s="35"/>
      <c r="I49" s="35"/>
      <c r="J49" s="35"/>
      <c r="K49" s="35"/>
      <c r="L49" s="35"/>
      <c r="M49" s="35"/>
      <c r="N49" s="35"/>
    </row>
    <row r="50" spans="1:15" x14ac:dyDescent="0.3">
      <c r="M50" s="57"/>
      <c r="N50" s="57"/>
      <c r="O50" s="35"/>
    </row>
    <row r="51" spans="1:15" x14ac:dyDescent="0.3">
      <c r="O51" s="35"/>
    </row>
    <row r="60" spans="1:15" x14ac:dyDescent="0.3">
      <c r="M60" s="35"/>
    </row>
    <row r="61" spans="1:15" x14ac:dyDescent="0.3">
      <c r="M61" s="35"/>
    </row>
    <row r="62" spans="1:15" x14ac:dyDescent="0.3">
      <c r="M62" s="35"/>
      <c r="N62" s="35"/>
    </row>
    <row r="63" spans="1:15" x14ac:dyDescent="0.3">
      <c r="M63" s="35"/>
      <c r="N63" s="35"/>
    </row>
    <row r="64" spans="1:15" x14ac:dyDescent="0.3">
      <c r="M64" s="35"/>
      <c r="N64" s="35"/>
    </row>
    <row r="65" spans="13:14" x14ac:dyDescent="0.3">
      <c r="M65" s="35"/>
      <c r="N65" s="35"/>
    </row>
    <row r="66" spans="13:14" x14ac:dyDescent="0.3">
      <c r="M66" s="35"/>
      <c r="N66" s="35"/>
    </row>
    <row r="67" spans="13:14" x14ac:dyDescent="0.3">
      <c r="M67" s="35"/>
      <c r="N67" s="35"/>
    </row>
    <row r="68" spans="13:14" x14ac:dyDescent="0.3">
      <c r="N68" s="35"/>
    </row>
    <row r="69" spans="13:14" x14ac:dyDescent="0.3">
      <c r="N69" s="35"/>
    </row>
  </sheetData>
  <sheetProtection selectLockedCells="1" selectUnlockedCells="1"/>
  <mergeCells count="38">
    <mergeCell ref="B13:B16"/>
    <mergeCell ref="A21:A27"/>
    <mergeCell ref="A29:A34"/>
    <mergeCell ref="A36:A38"/>
    <mergeCell ref="A17:A20"/>
    <mergeCell ref="A13:A16"/>
    <mergeCell ref="C13:C16"/>
    <mergeCell ref="D13:D16"/>
    <mergeCell ref="E13:E16"/>
    <mergeCell ref="J6:J9"/>
    <mergeCell ref="K6:K9"/>
    <mergeCell ref="K13:K16"/>
    <mergeCell ref="I13:I16"/>
    <mergeCell ref="J13:J16"/>
    <mergeCell ref="F13:F16"/>
    <mergeCell ref="G13:G16"/>
    <mergeCell ref="H13:H16"/>
    <mergeCell ref="L13:L16"/>
    <mergeCell ref="M13:M16"/>
    <mergeCell ref="N13:N16"/>
    <mergeCell ref="M6:M9"/>
    <mergeCell ref="N6:N9"/>
    <mergeCell ref="L6:L9"/>
    <mergeCell ref="I2:L3"/>
    <mergeCell ref="F6:F9"/>
    <mergeCell ref="I1:L1"/>
    <mergeCell ref="M1:O1"/>
    <mergeCell ref="A5:O5"/>
    <mergeCell ref="A6:A11"/>
    <mergeCell ref="B6:B9"/>
    <mergeCell ref="C6:C9"/>
    <mergeCell ref="D6:D9"/>
    <mergeCell ref="E6:E9"/>
    <mergeCell ref="G6:G9"/>
    <mergeCell ref="H6:H9"/>
    <mergeCell ref="I6:I9"/>
    <mergeCell ref="A1:B1"/>
    <mergeCell ref="A2:B2"/>
  </mergeCells>
  <hyperlinks>
    <hyperlink ref="D3" r:id="rId1" xr:uid="{00000000-0004-0000-0300-000000000000}"/>
  </hyperlinks>
  <pageMargins left="0.45" right="0.47013888888888888" top="0.62013888888888891" bottom="0.47013888888888888" header="0.51180555555555551" footer="0.51180555555555551"/>
  <pageSetup paperSize="9" scale="73" firstPageNumber="0" orientation="landscape"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R69"/>
  <sheetViews>
    <sheetView topLeftCell="D1" zoomScale="80" zoomScaleNormal="80" workbookViewId="0">
      <selection activeCell="A12" sqref="A12:XFD15"/>
    </sheetView>
  </sheetViews>
  <sheetFormatPr defaultColWidth="8.5546875" defaultRowHeight="15.6" x14ac:dyDescent="0.3"/>
  <cols>
    <col min="1" max="1" width="13.77734375" style="29" customWidth="1"/>
    <col min="2" max="2" width="24.77734375" style="29" customWidth="1"/>
    <col min="3" max="3" width="23.21875" style="29" customWidth="1"/>
    <col min="4" max="4" width="25.21875" style="29" customWidth="1"/>
    <col min="5" max="5" width="14.44140625" style="29" customWidth="1"/>
    <col min="6" max="6" width="14.21875" style="29" bestFit="1" customWidth="1"/>
    <col min="7" max="7" width="12.77734375" style="29" customWidth="1"/>
    <col min="8" max="8" width="14" style="29" customWidth="1"/>
    <col min="9" max="9" width="14.21875" style="29" customWidth="1"/>
    <col min="10" max="10" width="11.77734375" style="29" customWidth="1"/>
    <col min="11" max="11" width="12.77734375" style="29" customWidth="1"/>
    <col min="12" max="12" width="16.21875" style="29" customWidth="1"/>
    <col min="13" max="13" width="12.5546875" style="29" customWidth="1"/>
    <col min="14" max="15" width="17.5546875" style="29" customWidth="1"/>
    <col min="16" max="16" width="12" style="29" customWidth="1"/>
    <col min="17" max="17" width="8.5546875" style="29"/>
    <col min="18" max="18" width="12" style="29" customWidth="1"/>
    <col min="19" max="19" width="11.44140625" style="29" customWidth="1"/>
    <col min="20" max="21" width="12" style="29" customWidth="1"/>
    <col min="22" max="16384" width="8.5546875" style="29"/>
  </cols>
  <sheetData>
    <row r="1" spans="1:18" ht="16.2" x14ac:dyDescent="0.35">
      <c r="A1" s="298" t="s">
        <v>0</v>
      </c>
      <c r="B1" s="299"/>
      <c r="C1" s="180" t="s">
        <v>1</v>
      </c>
      <c r="D1" s="181"/>
      <c r="E1" s="36"/>
      <c r="F1" s="35"/>
      <c r="G1" s="35"/>
      <c r="H1" s="35"/>
      <c r="I1" s="259" t="s">
        <v>50</v>
      </c>
      <c r="J1" s="260"/>
      <c r="K1" s="260"/>
      <c r="L1" s="261"/>
      <c r="M1" s="276"/>
      <c r="N1" s="276"/>
      <c r="O1" s="276"/>
    </row>
    <row r="2" spans="1:18" ht="12.75" customHeight="1" x14ac:dyDescent="0.3">
      <c r="A2" s="300" t="s">
        <v>3</v>
      </c>
      <c r="B2" s="301"/>
      <c r="C2" s="176"/>
      <c r="D2" s="182"/>
      <c r="E2" s="36"/>
      <c r="F2" s="35"/>
      <c r="G2" s="35"/>
      <c r="H2" s="37"/>
      <c r="I2" s="289" t="s">
        <v>4</v>
      </c>
      <c r="J2" s="290"/>
      <c r="K2" s="290"/>
      <c r="L2" s="291"/>
      <c r="M2" s="35"/>
      <c r="N2" s="35"/>
      <c r="O2" s="35"/>
    </row>
    <row r="3" spans="1:18" ht="31.8" thickBot="1" x14ac:dyDescent="0.35">
      <c r="A3" s="183" t="s">
        <v>5</v>
      </c>
      <c r="B3" s="184" t="s">
        <v>6</v>
      </c>
      <c r="C3" s="184" t="s">
        <v>7</v>
      </c>
      <c r="D3" s="189" t="s">
        <v>76</v>
      </c>
      <c r="E3" s="36"/>
      <c r="F3" s="35"/>
      <c r="G3" s="35"/>
      <c r="H3" s="35"/>
      <c r="I3" s="292"/>
      <c r="J3" s="293"/>
      <c r="K3" s="293"/>
      <c r="L3" s="294"/>
      <c r="M3" s="35"/>
      <c r="N3" s="35"/>
      <c r="O3" s="35"/>
    </row>
    <row r="4" spans="1:18" ht="16.5" customHeight="1" x14ac:dyDescent="0.3">
      <c r="A4" s="38"/>
      <c r="B4" s="38"/>
      <c r="C4" s="38"/>
      <c r="D4" s="38"/>
      <c r="E4" s="38"/>
      <c r="F4" s="38"/>
      <c r="G4" s="38"/>
      <c r="H4" s="38"/>
      <c r="I4" s="38"/>
      <c r="J4" s="38"/>
      <c r="K4" s="38"/>
      <c r="L4" s="38"/>
      <c r="M4" s="39"/>
      <c r="N4" s="39"/>
      <c r="O4" s="39"/>
    </row>
    <row r="5" spans="1:18" ht="19.5" customHeight="1" x14ac:dyDescent="0.3">
      <c r="A5" s="277" t="s">
        <v>77</v>
      </c>
      <c r="B5" s="277"/>
      <c r="C5" s="277"/>
      <c r="D5" s="277"/>
      <c r="E5" s="277"/>
      <c r="F5" s="277"/>
      <c r="G5" s="277"/>
      <c r="H5" s="277"/>
      <c r="I5" s="277"/>
      <c r="J5" s="277"/>
      <c r="K5" s="277"/>
      <c r="L5" s="277"/>
      <c r="M5" s="277"/>
      <c r="N5" s="277"/>
      <c r="O5" s="277"/>
    </row>
    <row r="6" spans="1:18" ht="15" customHeight="1" x14ac:dyDescent="0.3">
      <c r="A6" s="268" t="s">
        <v>10</v>
      </c>
      <c r="B6" s="241" t="s">
        <v>63</v>
      </c>
      <c r="C6" s="241" t="s">
        <v>12</v>
      </c>
      <c r="D6" s="241" t="s">
        <v>13</v>
      </c>
      <c r="E6" s="241" t="s">
        <v>14</v>
      </c>
      <c r="F6" s="241" t="s">
        <v>15</v>
      </c>
      <c r="G6" s="241" t="s">
        <v>16</v>
      </c>
      <c r="H6" s="265" t="s">
        <v>17</v>
      </c>
      <c r="I6" s="241" t="s">
        <v>18</v>
      </c>
      <c r="J6" s="241" t="s">
        <v>19</v>
      </c>
      <c r="K6" s="241" t="s">
        <v>20</v>
      </c>
      <c r="L6" s="253" t="s">
        <v>21</v>
      </c>
      <c r="M6" s="262" t="s">
        <v>64</v>
      </c>
      <c r="N6" s="256" t="s">
        <v>65</v>
      </c>
    </row>
    <row r="7" spans="1:18" ht="15" customHeight="1" x14ac:dyDescent="0.3">
      <c r="A7" s="269"/>
      <c r="B7" s="242"/>
      <c r="C7" s="242"/>
      <c r="D7" s="242"/>
      <c r="E7" s="242"/>
      <c r="F7" s="242"/>
      <c r="G7" s="242"/>
      <c r="H7" s="266"/>
      <c r="I7" s="242"/>
      <c r="J7" s="242"/>
      <c r="K7" s="242"/>
      <c r="L7" s="254"/>
      <c r="M7" s="263"/>
      <c r="N7" s="257"/>
    </row>
    <row r="8" spans="1:18" ht="15" customHeight="1" x14ac:dyDescent="0.3">
      <c r="A8" s="269"/>
      <c r="B8" s="242"/>
      <c r="C8" s="242"/>
      <c r="D8" s="242"/>
      <c r="E8" s="242"/>
      <c r="F8" s="242"/>
      <c r="G8" s="242"/>
      <c r="H8" s="266"/>
      <c r="I8" s="242"/>
      <c r="J8" s="242"/>
      <c r="K8" s="242"/>
      <c r="L8" s="254"/>
      <c r="M8" s="263"/>
      <c r="N8" s="257"/>
    </row>
    <row r="9" spans="1:18" ht="15" customHeight="1" x14ac:dyDescent="0.3">
      <c r="A9" s="269"/>
      <c r="B9" s="243"/>
      <c r="C9" s="242"/>
      <c r="D9" s="243"/>
      <c r="E9" s="243"/>
      <c r="F9" s="243"/>
      <c r="G9" s="243"/>
      <c r="H9" s="267"/>
      <c r="I9" s="243"/>
      <c r="J9" s="243"/>
      <c r="K9" s="243"/>
      <c r="L9" s="255"/>
      <c r="M9" s="264"/>
      <c r="N9" s="258"/>
      <c r="P9" s="33"/>
    </row>
    <row r="10" spans="1:18" ht="18" customHeight="1" x14ac:dyDescent="0.3">
      <c r="A10" s="269"/>
      <c r="B10" s="236" t="s">
        <v>146</v>
      </c>
      <c r="C10" s="229">
        <f>4623.3*12</f>
        <v>55479.600000000006</v>
      </c>
      <c r="D10" s="230"/>
      <c r="E10" s="231">
        <f>23.12*12</f>
        <v>277.44</v>
      </c>
      <c r="F10" s="231"/>
      <c r="G10" s="232">
        <f>(C10+E10)/12</f>
        <v>4646.420000000001</v>
      </c>
      <c r="H10" s="233">
        <f>SUM(C10:G10)</f>
        <v>60403.460000000006</v>
      </c>
      <c r="I10" s="232">
        <f>H10*23.46%</f>
        <v>14170.651716000002</v>
      </c>
      <c r="J10" s="232">
        <f>H10*7.41%</f>
        <v>4475.8963860000003</v>
      </c>
      <c r="K10" s="232">
        <f>H10*8.5%</f>
        <v>5134.294100000001</v>
      </c>
      <c r="L10" s="237">
        <f>SUM(H10:K10)</f>
        <v>84184.302202000021</v>
      </c>
      <c r="M10" s="11"/>
      <c r="N10" s="28">
        <f>+L10*M10</f>
        <v>0</v>
      </c>
      <c r="P10" s="33"/>
    </row>
    <row r="11" spans="1:18" ht="18" customHeight="1" x14ac:dyDescent="0.3">
      <c r="A11" s="270"/>
      <c r="B11" s="236" t="s">
        <v>25</v>
      </c>
      <c r="C11" s="229">
        <f>3616.6*12</f>
        <v>43399.199999999997</v>
      </c>
      <c r="D11" s="234"/>
      <c r="E11" s="235">
        <f>18.08*12</f>
        <v>216.95999999999998</v>
      </c>
      <c r="F11" s="235"/>
      <c r="G11" s="232">
        <f>(C11+E11)/12</f>
        <v>3634.68</v>
      </c>
      <c r="H11" s="233">
        <f>SUM(C11:G11)</f>
        <v>47250.84</v>
      </c>
      <c r="I11" s="232">
        <f>H11*23.46%</f>
        <v>11085.047063999998</v>
      </c>
      <c r="J11" s="232">
        <f>H11*7.41%</f>
        <v>3501.2872439999996</v>
      </c>
      <c r="K11" s="232">
        <f>H11*8.5%</f>
        <v>4016.3213999999998</v>
      </c>
      <c r="L11" s="237">
        <f>SUM(H11:K11)</f>
        <v>65853.495707999988</v>
      </c>
      <c r="M11" s="14">
        <v>1</v>
      </c>
      <c r="N11" s="28">
        <f>+L11*M11</f>
        <v>65853.495707999988</v>
      </c>
      <c r="P11" s="34"/>
      <c r="R11" s="30"/>
    </row>
    <row r="12" spans="1:18" ht="14.25" customHeight="1" x14ac:dyDescent="0.3">
      <c r="A12" s="40"/>
      <c r="B12" s="41"/>
      <c r="C12" s="42"/>
      <c r="D12" s="43"/>
      <c r="E12" s="43"/>
      <c r="F12" s="43"/>
      <c r="G12" s="43"/>
      <c r="H12" s="43"/>
      <c r="I12" s="43"/>
      <c r="J12" s="43"/>
      <c r="K12" s="43"/>
      <c r="L12" s="43"/>
      <c r="M12" s="44"/>
      <c r="N12" s="43"/>
      <c r="P12" s="34"/>
      <c r="Q12" s="30"/>
      <c r="R12" s="30"/>
    </row>
    <row r="13" spans="1:18" ht="15" customHeight="1" x14ac:dyDescent="0.3">
      <c r="A13" s="268" t="s">
        <v>26</v>
      </c>
      <c r="B13" s="286" t="s">
        <v>66</v>
      </c>
      <c r="C13" s="241" t="s">
        <v>28</v>
      </c>
      <c r="D13" s="244"/>
      <c r="E13" s="241" t="s">
        <v>14</v>
      </c>
      <c r="F13" s="241" t="s">
        <v>15</v>
      </c>
      <c r="G13" s="241" t="s">
        <v>16</v>
      </c>
      <c r="H13" s="265" t="s">
        <v>17</v>
      </c>
      <c r="I13" s="241" t="s">
        <v>18</v>
      </c>
      <c r="J13" s="241" t="s">
        <v>19</v>
      </c>
      <c r="K13" s="241" t="s">
        <v>20</v>
      </c>
      <c r="L13" s="282" t="s">
        <v>21</v>
      </c>
      <c r="M13" s="295" t="s">
        <v>64</v>
      </c>
      <c r="N13" s="283" t="s">
        <v>65</v>
      </c>
      <c r="P13" s="34"/>
      <c r="Q13" s="30"/>
      <c r="R13" s="30"/>
    </row>
    <row r="14" spans="1:18" ht="15" customHeight="1" x14ac:dyDescent="0.3">
      <c r="A14" s="269"/>
      <c r="B14" s="287"/>
      <c r="C14" s="242"/>
      <c r="D14" s="245"/>
      <c r="E14" s="242"/>
      <c r="F14" s="242"/>
      <c r="G14" s="242"/>
      <c r="H14" s="266"/>
      <c r="I14" s="242"/>
      <c r="J14" s="242"/>
      <c r="K14" s="242"/>
      <c r="L14" s="282"/>
      <c r="M14" s="296"/>
      <c r="N14" s="283"/>
      <c r="Q14" s="30"/>
      <c r="R14" s="30"/>
    </row>
    <row r="15" spans="1:18" ht="15" customHeight="1" x14ac:dyDescent="0.3">
      <c r="A15" s="269"/>
      <c r="B15" s="287"/>
      <c r="C15" s="242"/>
      <c r="D15" s="245"/>
      <c r="E15" s="242"/>
      <c r="F15" s="242"/>
      <c r="G15" s="242"/>
      <c r="H15" s="266"/>
      <c r="I15" s="242"/>
      <c r="J15" s="242"/>
      <c r="K15" s="242"/>
      <c r="L15" s="282"/>
      <c r="M15" s="296"/>
      <c r="N15" s="283"/>
    </row>
    <row r="16" spans="1:18" ht="71.25" customHeight="1" x14ac:dyDescent="0.3">
      <c r="A16" s="270"/>
      <c r="B16" s="288"/>
      <c r="C16" s="243"/>
      <c r="D16" s="246"/>
      <c r="E16" s="243"/>
      <c r="F16" s="243"/>
      <c r="G16" s="243"/>
      <c r="H16" s="267"/>
      <c r="I16" s="243"/>
      <c r="J16" s="243"/>
      <c r="K16" s="243"/>
      <c r="L16" s="282"/>
      <c r="M16" s="297"/>
      <c r="N16" s="283"/>
      <c r="R16" s="30"/>
    </row>
    <row r="17" spans="1:15" ht="15.75" customHeight="1" x14ac:dyDescent="0.3">
      <c r="A17" s="268" t="s">
        <v>31</v>
      </c>
      <c r="B17" s="23" t="s">
        <v>32</v>
      </c>
      <c r="C17" s="26">
        <v>44674.87</v>
      </c>
      <c r="D17" s="58"/>
      <c r="E17" s="25">
        <f>+ROUND(C17/12*0.005,2)*12</f>
        <v>223.32</v>
      </c>
      <c r="F17" s="109"/>
      <c r="G17" s="110">
        <f>+ROUND((C17+E17+F17)/12,2)</f>
        <v>3741.52</v>
      </c>
      <c r="H17" s="111">
        <f t="shared" ref="H17:H27" si="0">+G17+E17+C17</f>
        <v>48639.710000000006</v>
      </c>
      <c r="I17" s="26">
        <f>H17*23.46%</f>
        <v>11410.875966000001</v>
      </c>
      <c r="J17" s="26">
        <f>H17*7.41%</f>
        <v>3604.2025110000004</v>
      </c>
      <c r="K17" s="113">
        <f>H17*8.5%</f>
        <v>4134.3753500000012</v>
      </c>
      <c r="L17" s="45">
        <f>+H17+I17+J17+K17</f>
        <v>67789.163827000011</v>
      </c>
      <c r="M17" s="47"/>
      <c r="N17" s="28">
        <f>+L17*M17</f>
        <v>0</v>
      </c>
    </row>
    <row r="18" spans="1:15" x14ac:dyDescent="0.3">
      <c r="A18" s="269"/>
      <c r="B18" s="23" t="s">
        <v>33</v>
      </c>
      <c r="C18" s="26">
        <v>40560.15</v>
      </c>
      <c r="D18" s="58"/>
      <c r="E18" s="25">
        <f>+ROUND(C18/12*0.005,2)*12</f>
        <v>202.79999999999998</v>
      </c>
      <c r="F18" s="109"/>
      <c r="G18" s="110">
        <f>+ROUND((C18+E18+F18)/12,2)</f>
        <v>3396.91</v>
      </c>
      <c r="H18" s="111">
        <f t="shared" si="0"/>
        <v>44159.86</v>
      </c>
      <c r="I18" s="26">
        <f t="shared" ref="I18:I38" si="1">H18*23.46%</f>
        <v>10359.903156</v>
      </c>
      <c r="J18" s="26">
        <f t="shared" ref="J18:J38" si="2">H18*7.41%</f>
        <v>3272.2456259999999</v>
      </c>
      <c r="K18" s="113">
        <f>H18*8.5%</f>
        <v>3753.5881000000004</v>
      </c>
      <c r="L18" s="45">
        <f>+H18+I18+J18+K18</f>
        <v>61545.596882000005</v>
      </c>
      <c r="M18" s="47"/>
      <c r="N18" s="28">
        <f>+L18*M18</f>
        <v>0</v>
      </c>
    </row>
    <row r="19" spans="1:15" x14ac:dyDescent="0.3">
      <c r="A19" s="269"/>
      <c r="B19" s="23" t="s">
        <v>34</v>
      </c>
      <c r="C19" s="26">
        <v>34480.639999999999</v>
      </c>
      <c r="D19" s="58"/>
      <c r="E19" s="25">
        <f>+ROUND(C19/12*0.005,2)*12</f>
        <v>172.44</v>
      </c>
      <c r="F19" s="109"/>
      <c r="G19" s="110">
        <f>+ROUND((C19+E19+F19)/12,2)</f>
        <v>2887.76</v>
      </c>
      <c r="H19" s="111">
        <f t="shared" si="0"/>
        <v>37540.839999999997</v>
      </c>
      <c r="I19" s="26">
        <f t="shared" si="1"/>
        <v>8807.081064</v>
      </c>
      <c r="J19" s="26">
        <f t="shared" si="2"/>
        <v>2781.7762439999997</v>
      </c>
      <c r="K19" s="113">
        <f>H19*8.5%</f>
        <v>3190.9713999999999</v>
      </c>
      <c r="L19" s="45">
        <f>+H19+I19+J19+K19</f>
        <v>52320.668707999997</v>
      </c>
      <c r="M19" s="47"/>
      <c r="N19" s="28">
        <f>+L19*M19</f>
        <v>0</v>
      </c>
    </row>
    <row r="20" spans="1:15" x14ac:dyDescent="0.3">
      <c r="A20" s="270"/>
      <c r="B20" s="23" t="s">
        <v>35</v>
      </c>
      <c r="C20" s="26">
        <v>32491.32</v>
      </c>
      <c r="D20" s="58"/>
      <c r="E20" s="25">
        <f>+ROUND(C20/12*0.005,2)*12</f>
        <v>162.47999999999999</v>
      </c>
      <c r="F20" s="109"/>
      <c r="G20" s="110">
        <f>+ROUND((C20+E20+F20)/12,2)</f>
        <v>2721.15</v>
      </c>
      <c r="H20" s="111">
        <f t="shared" si="0"/>
        <v>35374.949999999997</v>
      </c>
      <c r="I20" s="26">
        <f t="shared" si="1"/>
        <v>8298.9632700000002</v>
      </c>
      <c r="J20" s="26">
        <f t="shared" si="2"/>
        <v>2621.2837949999998</v>
      </c>
      <c r="K20" s="113">
        <f>H20*8.5%</f>
        <v>3006.87075</v>
      </c>
      <c r="L20" s="45">
        <f>+H20+I20+J20+K20</f>
        <v>49302.067815000002</v>
      </c>
      <c r="M20" s="47">
        <v>3</v>
      </c>
      <c r="N20" s="28">
        <f>+L20*M20</f>
        <v>147906.20344499999</v>
      </c>
    </row>
    <row r="21" spans="1:15" ht="15.75" customHeight="1" x14ac:dyDescent="0.3">
      <c r="A21" s="268" t="s">
        <v>36</v>
      </c>
      <c r="B21" s="23" t="s">
        <v>34</v>
      </c>
      <c r="C21" s="24">
        <v>33614.480000000003</v>
      </c>
      <c r="D21" s="58"/>
      <c r="E21" s="25">
        <f>+ROUND(C21/12*0.005,2)*12</f>
        <v>168.12</v>
      </c>
      <c r="F21" s="109"/>
      <c r="G21" s="110">
        <f>+ROUND((C21+E21+F21)/12,2)</f>
        <v>2815.22</v>
      </c>
      <c r="H21" s="111">
        <f t="shared" si="0"/>
        <v>36597.82</v>
      </c>
      <c r="I21" s="26">
        <f t="shared" si="1"/>
        <v>8585.8485720000008</v>
      </c>
      <c r="J21" s="26">
        <f t="shared" si="2"/>
        <v>2711.8984620000001</v>
      </c>
      <c r="K21" s="113">
        <f>H21*8.5%</f>
        <v>3110.8147000000004</v>
      </c>
      <c r="L21" s="45">
        <f>+H21+I21+J21+K21</f>
        <v>51006.381734000002</v>
      </c>
      <c r="M21" s="47"/>
      <c r="N21" s="28">
        <f>+L21*M21</f>
        <v>0</v>
      </c>
    </row>
    <row r="22" spans="1:15" x14ac:dyDescent="0.3">
      <c r="A22" s="269"/>
      <c r="B22" s="23" t="s">
        <v>35</v>
      </c>
      <c r="C22" s="24">
        <v>31641</v>
      </c>
      <c r="D22" s="58"/>
      <c r="E22" s="25">
        <f t="shared" ref="E22:E38" si="3">+ROUND(C22/12*0.005,2)*12</f>
        <v>158.16</v>
      </c>
      <c r="F22" s="109"/>
      <c r="G22" s="110">
        <f t="shared" ref="G22:G38" si="4">+ROUND((C22+E22+F22)/12,2)</f>
        <v>2649.93</v>
      </c>
      <c r="H22" s="111">
        <f t="shared" si="0"/>
        <v>34449.089999999997</v>
      </c>
      <c r="I22" s="26">
        <f t="shared" si="1"/>
        <v>8081.7565139999997</v>
      </c>
      <c r="J22" s="26">
        <f t="shared" si="2"/>
        <v>2552.6775689999995</v>
      </c>
      <c r="K22" s="113">
        <f t="shared" ref="K22:K27" si="5">H22*8.5%</f>
        <v>2928.17265</v>
      </c>
      <c r="L22" s="45">
        <f t="shared" ref="L22:L38" si="6">+H22+I22+J22+K22</f>
        <v>48011.696732999997</v>
      </c>
      <c r="M22" s="47"/>
      <c r="N22" s="28">
        <f t="shared" ref="N22:N27" si="7">+L22*M22</f>
        <v>0</v>
      </c>
    </row>
    <row r="23" spans="1:15" x14ac:dyDescent="0.3">
      <c r="A23" s="269"/>
      <c r="B23" s="23" t="s">
        <v>37</v>
      </c>
      <c r="C23" s="24">
        <v>29655.67</v>
      </c>
      <c r="D23" s="58"/>
      <c r="E23" s="25">
        <f t="shared" si="3"/>
        <v>148.32</v>
      </c>
      <c r="F23" s="109"/>
      <c r="G23" s="110">
        <f t="shared" si="4"/>
        <v>2483.67</v>
      </c>
      <c r="H23" s="111">
        <f t="shared" si="0"/>
        <v>32287.66</v>
      </c>
      <c r="I23" s="26">
        <f t="shared" si="1"/>
        <v>7574.6850359999999</v>
      </c>
      <c r="J23" s="26">
        <f t="shared" si="2"/>
        <v>2392.5156059999999</v>
      </c>
      <c r="K23" s="113">
        <f t="shared" si="5"/>
        <v>2744.4511000000002</v>
      </c>
      <c r="L23" s="45">
        <f t="shared" si="6"/>
        <v>44999.311741999998</v>
      </c>
      <c r="M23" s="47"/>
      <c r="N23" s="28">
        <f t="shared" si="7"/>
        <v>0</v>
      </c>
    </row>
    <row r="24" spans="1:15" x14ac:dyDescent="0.3">
      <c r="A24" s="269"/>
      <c r="B24" s="23" t="s">
        <v>38</v>
      </c>
      <c r="C24" s="24">
        <v>27858.84</v>
      </c>
      <c r="D24" s="59"/>
      <c r="E24" s="25">
        <f t="shared" si="3"/>
        <v>139.32</v>
      </c>
      <c r="F24" s="114"/>
      <c r="G24" s="110">
        <f t="shared" si="4"/>
        <v>2333.1799999999998</v>
      </c>
      <c r="H24" s="111">
        <f t="shared" si="0"/>
        <v>30331.34</v>
      </c>
      <c r="I24" s="26">
        <f t="shared" si="1"/>
        <v>7115.7323640000004</v>
      </c>
      <c r="J24" s="26">
        <f t="shared" si="2"/>
        <v>2247.5522940000001</v>
      </c>
      <c r="K24" s="113">
        <f t="shared" si="5"/>
        <v>2578.1639</v>
      </c>
      <c r="L24" s="45">
        <f t="shared" si="6"/>
        <v>42272.788558</v>
      </c>
      <c r="M24" s="47"/>
      <c r="N24" s="28">
        <f t="shared" si="7"/>
        <v>0</v>
      </c>
    </row>
    <row r="25" spans="1:15" ht="15.75" customHeight="1" x14ac:dyDescent="0.3">
      <c r="A25" s="269"/>
      <c r="B25" s="23" t="s">
        <v>39</v>
      </c>
      <c r="C25" s="24">
        <v>25373.64</v>
      </c>
      <c r="D25" s="59"/>
      <c r="E25" s="25">
        <f t="shared" si="3"/>
        <v>126.84</v>
      </c>
      <c r="F25" s="114"/>
      <c r="G25" s="110">
        <f t="shared" si="4"/>
        <v>2125.04</v>
      </c>
      <c r="H25" s="111">
        <f t="shared" si="0"/>
        <v>27625.52</v>
      </c>
      <c r="I25" s="26">
        <f t="shared" si="1"/>
        <v>6480.9469920000001</v>
      </c>
      <c r="J25" s="26">
        <f t="shared" si="2"/>
        <v>2047.0510320000001</v>
      </c>
      <c r="K25" s="113">
        <f t="shared" si="5"/>
        <v>2348.1692000000003</v>
      </c>
      <c r="L25" s="45">
        <f t="shared" si="6"/>
        <v>38501.687224000008</v>
      </c>
      <c r="M25" s="47"/>
      <c r="N25" s="28">
        <f t="shared" si="7"/>
        <v>0</v>
      </c>
    </row>
    <row r="26" spans="1:15" x14ac:dyDescent="0.3">
      <c r="A26" s="269"/>
      <c r="B26" s="23" t="s">
        <v>40</v>
      </c>
      <c r="C26" s="24">
        <v>24104.21</v>
      </c>
      <c r="D26" s="59"/>
      <c r="E26" s="25">
        <f t="shared" si="3"/>
        <v>120.47999999999999</v>
      </c>
      <c r="F26" s="114"/>
      <c r="G26" s="110">
        <f t="shared" si="4"/>
        <v>2018.72</v>
      </c>
      <c r="H26" s="111">
        <f t="shared" si="0"/>
        <v>26243.41</v>
      </c>
      <c r="I26" s="26">
        <f t="shared" si="1"/>
        <v>6156.7039860000004</v>
      </c>
      <c r="J26" s="26">
        <f t="shared" si="2"/>
        <v>1944.636681</v>
      </c>
      <c r="K26" s="113">
        <f t="shared" si="5"/>
        <v>2230.6898500000002</v>
      </c>
      <c r="L26" s="45">
        <f t="shared" si="6"/>
        <v>36575.440517000003</v>
      </c>
      <c r="M26" s="47"/>
      <c r="N26" s="28">
        <f t="shared" si="7"/>
        <v>0</v>
      </c>
    </row>
    <row r="27" spans="1:15" x14ac:dyDescent="0.3">
      <c r="A27" s="269"/>
      <c r="B27" s="23" t="s">
        <v>41</v>
      </c>
      <c r="C27" s="24">
        <v>23299.78</v>
      </c>
      <c r="D27" s="59"/>
      <c r="E27" s="25">
        <f t="shared" si="3"/>
        <v>116.52000000000001</v>
      </c>
      <c r="F27" s="114"/>
      <c r="G27" s="110">
        <f t="shared" si="4"/>
        <v>1951.36</v>
      </c>
      <c r="H27" s="111">
        <f t="shared" si="0"/>
        <v>25367.66</v>
      </c>
      <c r="I27" s="26">
        <f t="shared" si="1"/>
        <v>5951.2530360000001</v>
      </c>
      <c r="J27" s="26">
        <f t="shared" si="2"/>
        <v>1879.743606</v>
      </c>
      <c r="K27" s="113">
        <f t="shared" si="5"/>
        <v>2156.2511</v>
      </c>
      <c r="L27" s="45">
        <f t="shared" si="6"/>
        <v>35354.907742000003</v>
      </c>
      <c r="M27" s="47">
        <v>4</v>
      </c>
      <c r="N27" s="28">
        <f t="shared" si="7"/>
        <v>141419.63096800001</v>
      </c>
      <c r="O27" s="30"/>
    </row>
    <row r="28" spans="1:15" x14ac:dyDescent="0.3">
      <c r="A28" s="121"/>
      <c r="B28" s="69"/>
      <c r="C28" s="61"/>
      <c r="D28" s="60"/>
      <c r="E28" s="63"/>
      <c r="F28" s="115"/>
      <c r="G28" s="116"/>
      <c r="H28" s="117"/>
      <c r="I28" s="164"/>
      <c r="J28" s="164"/>
      <c r="K28" s="118"/>
      <c r="L28" s="126"/>
      <c r="M28" s="64"/>
      <c r="N28" s="65"/>
      <c r="O28" s="30"/>
    </row>
    <row r="29" spans="1:15" ht="17.100000000000001" customHeight="1" x14ac:dyDescent="0.3">
      <c r="A29" s="269" t="s">
        <v>42</v>
      </c>
      <c r="B29" s="31" t="s">
        <v>35</v>
      </c>
      <c r="C29" s="24">
        <v>24043.33</v>
      </c>
      <c r="D29" s="59"/>
      <c r="E29" s="25">
        <f t="shared" si="3"/>
        <v>120.24</v>
      </c>
      <c r="F29" s="114"/>
      <c r="G29" s="110">
        <f t="shared" si="4"/>
        <v>2013.63</v>
      </c>
      <c r="H29" s="111">
        <f t="shared" ref="H29:H34" si="8">+G29+E29+C29</f>
        <v>26177.200000000001</v>
      </c>
      <c r="I29" s="26">
        <f t="shared" si="1"/>
        <v>6141.17112</v>
      </c>
      <c r="J29" s="26">
        <f t="shared" si="2"/>
        <v>1939.7305200000001</v>
      </c>
      <c r="K29" s="113">
        <f t="shared" ref="K29:K34" si="9">H29*8.5%</f>
        <v>2225.0620000000004</v>
      </c>
      <c r="L29" s="45">
        <f t="shared" si="6"/>
        <v>36483.163639999999</v>
      </c>
      <c r="M29" s="47"/>
      <c r="N29" s="28">
        <f t="shared" ref="N29:N38" si="10">+L29*M29</f>
        <v>0</v>
      </c>
      <c r="O29" s="30"/>
    </row>
    <row r="30" spans="1:15" x14ac:dyDescent="0.3">
      <c r="A30" s="269"/>
      <c r="B30" s="31" t="s">
        <v>37</v>
      </c>
      <c r="C30" s="24">
        <v>23386.86</v>
      </c>
      <c r="D30" s="59"/>
      <c r="E30" s="25">
        <f t="shared" si="3"/>
        <v>116.88</v>
      </c>
      <c r="F30" s="114"/>
      <c r="G30" s="110">
        <f t="shared" si="4"/>
        <v>1958.65</v>
      </c>
      <c r="H30" s="111">
        <f t="shared" si="8"/>
        <v>25462.39</v>
      </c>
      <c r="I30" s="26">
        <f t="shared" si="1"/>
        <v>5973.476694</v>
      </c>
      <c r="J30" s="26">
        <f t="shared" si="2"/>
        <v>1886.763099</v>
      </c>
      <c r="K30" s="113">
        <f t="shared" si="9"/>
        <v>2164.3031500000002</v>
      </c>
      <c r="L30" s="45">
        <f t="shared" si="6"/>
        <v>35486.932943</v>
      </c>
      <c r="M30" s="47"/>
      <c r="N30" s="28">
        <f t="shared" si="10"/>
        <v>0</v>
      </c>
      <c r="O30" s="30"/>
    </row>
    <row r="31" spans="1:15" x14ac:dyDescent="0.3">
      <c r="A31" s="269"/>
      <c r="B31" s="31" t="s">
        <v>38</v>
      </c>
      <c r="C31" s="24">
        <v>22793.040000000001</v>
      </c>
      <c r="D31" s="59"/>
      <c r="E31" s="25">
        <f t="shared" si="3"/>
        <v>114</v>
      </c>
      <c r="F31" s="114"/>
      <c r="G31" s="110">
        <f t="shared" si="4"/>
        <v>1908.92</v>
      </c>
      <c r="H31" s="111">
        <f t="shared" si="8"/>
        <v>24815.96</v>
      </c>
      <c r="I31" s="26">
        <f t="shared" si="1"/>
        <v>5821.824216</v>
      </c>
      <c r="J31" s="26">
        <f t="shared" si="2"/>
        <v>1838.8626359999998</v>
      </c>
      <c r="K31" s="113">
        <f t="shared" si="9"/>
        <v>2109.3566000000001</v>
      </c>
      <c r="L31" s="45">
        <f t="shared" si="6"/>
        <v>34586.003451999997</v>
      </c>
      <c r="M31" s="47"/>
      <c r="N31" s="28">
        <f t="shared" si="10"/>
        <v>0</v>
      </c>
      <c r="O31" s="30"/>
    </row>
    <row r="32" spans="1:15" x14ac:dyDescent="0.3">
      <c r="A32" s="269"/>
      <c r="B32" s="31" t="s">
        <v>39</v>
      </c>
      <c r="C32" s="24">
        <v>21449.360000000001</v>
      </c>
      <c r="D32" s="59"/>
      <c r="E32" s="25">
        <f t="shared" si="3"/>
        <v>107.28</v>
      </c>
      <c r="F32" s="114"/>
      <c r="G32" s="110">
        <f t="shared" si="4"/>
        <v>1796.39</v>
      </c>
      <c r="H32" s="111">
        <f t="shared" si="8"/>
        <v>23353.03</v>
      </c>
      <c r="I32" s="26">
        <f t="shared" si="1"/>
        <v>5478.6208379999998</v>
      </c>
      <c r="J32" s="26">
        <f t="shared" si="2"/>
        <v>1730.459523</v>
      </c>
      <c r="K32" s="113">
        <f t="shared" si="9"/>
        <v>1985.00755</v>
      </c>
      <c r="L32" s="45">
        <f t="shared" si="6"/>
        <v>32547.117910999998</v>
      </c>
      <c r="M32" s="47"/>
      <c r="N32" s="28">
        <f t="shared" si="10"/>
        <v>0</v>
      </c>
      <c r="O32" s="30"/>
    </row>
    <row r="33" spans="1:18" ht="15" customHeight="1" x14ac:dyDescent="0.3">
      <c r="A33" s="269"/>
      <c r="B33" s="31" t="s">
        <v>40</v>
      </c>
      <c r="C33" s="24">
        <v>20167.03</v>
      </c>
      <c r="D33" s="59"/>
      <c r="E33" s="25">
        <f t="shared" si="3"/>
        <v>100.80000000000001</v>
      </c>
      <c r="F33" s="114"/>
      <c r="G33" s="110">
        <f t="shared" si="4"/>
        <v>1688.99</v>
      </c>
      <c r="H33" s="111">
        <f t="shared" si="8"/>
        <v>21956.82</v>
      </c>
      <c r="I33" s="26">
        <f t="shared" si="1"/>
        <v>5151.0699720000002</v>
      </c>
      <c r="J33" s="26">
        <f t="shared" si="2"/>
        <v>1627.000362</v>
      </c>
      <c r="K33" s="113">
        <f t="shared" si="9"/>
        <v>1866.3297</v>
      </c>
      <c r="L33" s="45">
        <f t="shared" si="6"/>
        <v>30601.220033999998</v>
      </c>
      <c r="M33" s="47"/>
      <c r="N33" s="28">
        <f t="shared" si="10"/>
        <v>0</v>
      </c>
      <c r="R33" s="32"/>
    </row>
    <row r="34" spans="1:18" ht="15" customHeight="1" x14ac:dyDescent="0.3">
      <c r="A34" s="269"/>
      <c r="B34" s="31" t="s">
        <v>41</v>
      </c>
      <c r="C34" s="24">
        <v>19202.04</v>
      </c>
      <c r="D34" s="59"/>
      <c r="E34" s="25">
        <f t="shared" si="3"/>
        <v>96</v>
      </c>
      <c r="F34" s="114"/>
      <c r="G34" s="110">
        <f t="shared" si="4"/>
        <v>1608.17</v>
      </c>
      <c r="H34" s="111">
        <f t="shared" si="8"/>
        <v>20906.21</v>
      </c>
      <c r="I34" s="26">
        <f t="shared" si="1"/>
        <v>4904.5968659999999</v>
      </c>
      <c r="J34" s="26">
        <f t="shared" si="2"/>
        <v>1549.150161</v>
      </c>
      <c r="K34" s="113">
        <f t="shared" si="9"/>
        <v>1777.0278499999999</v>
      </c>
      <c r="L34" s="45">
        <f t="shared" si="6"/>
        <v>29136.984876999999</v>
      </c>
      <c r="M34" s="47"/>
      <c r="N34" s="28">
        <f t="shared" si="10"/>
        <v>0</v>
      </c>
      <c r="R34" s="32"/>
    </row>
    <row r="35" spans="1:18" ht="15" customHeight="1" x14ac:dyDescent="0.3">
      <c r="A35" s="121"/>
      <c r="B35" s="120"/>
      <c r="C35" s="62"/>
      <c r="D35" s="61"/>
      <c r="E35" s="60"/>
      <c r="F35" s="115"/>
      <c r="G35" s="119"/>
      <c r="H35" s="117"/>
      <c r="I35" s="164"/>
      <c r="J35" s="164"/>
      <c r="K35" s="64"/>
      <c r="L35" s="65"/>
      <c r="M35" s="64"/>
      <c r="N35" s="65"/>
      <c r="R35" s="32"/>
    </row>
    <row r="36" spans="1:18" ht="15" customHeight="1" x14ac:dyDescent="0.3">
      <c r="A36" s="269" t="s">
        <v>43</v>
      </c>
      <c r="B36" s="31" t="s">
        <v>39</v>
      </c>
      <c r="C36" s="24">
        <v>19550.650000000001</v>
      </c>
      <c r="D36" s="59"/>
      <c r="E36" s="25">
        <f t="shared" si="3"/>
        <v>97.800000000000011</v>
      </c>
      <c r="F36" s="114"/>
      <c r="G36" s="110">
        <f t="shared" si="4"/>
        <v>1637.37</v>
      </c>
      <c r="H36" s="111">
        <f>+G36+E36+C36</f>
        <v>21285.82</v>
      </c>
      <c r="I36" s="26">
        <f t="shared" si="1"/>
        <v>4993.6533719999998</v>
      </c>
      <c r="J36" s="26">
        <f t="shared" si="2"/>
        <v>1577.279262</v>
      </c>
      <c r="K36" s="113">
        <f>H36*8.5%</f>
        <v>1809.2947000000001</v>
      </c>
      <c r="L36" s="45">
        <f t="shared" si="6"/>
        <v>29666.047333999999</v>
      </c>
      <c r="M36" s="49"/>
      <c r="N36" s="28">
        <f t="shared" si="10"/>
        <v>0</v>
      </c>
      <c r="R36" s="32"/>
    </row>
    <row r="37" spans="1:18" x14ac:dyDescent="0.3">
      <c r="A37" s="269"/>
      <c r="B37" s="31" t="s">
        <v>40</v>
      </c>
      <c r="C37" s="24">
        <v>18864.71</v>
      </c>
      <c r="D37" s="59"/>
      <c r="E37" s="25">
        <f t="shared" si="3"/>
        <v>94.320000000000007</v>
      </c>
      <c r="F37" s="114"/>
      <c r="G37" s="110">
        <f t="shared" si="4"/>
        <v>1579.92</v>
      </c>
      <c r="H37" s="111">
        <f>+G37+E37+C37</f>
        <v>20538.95</v>
      </c>
      <c r="I37" s="26">
        <f t="shared" si="1"/>
        <v>4818.4376700000003</v>
      </c>
      <c r="J37" s="26">
        <f t="shared" si="2"/>
        <v>1521.936195</v>
      </c>
      <c r="K37" s="113">
        <f>H37*8.5%</f>
        <v>1745.8107500000001</v>
      </c>
      <c r="L37" s="45">
        <f t="shared" si="6"/>
        <v>28625.134614999999</v>
      </c>
      <c r="M37" s="49"/>
      <c r="N37" s="28">
        <f t="shared" si="10"/>
        <v>0</v>
      </c>
    </row>
    <row r="38" spans="1:18" x14ac:dyDescent="0.3">
      <c r="A38" s="269"/>
      <c r="B38" s="31" t="s">
        <v>41</v>
      </c>
      <c r="C38" s="24">
        <v>18243.61</v>
      </c>
      <c r="D38" s="59"/>
      <c r="E38" s="25">
        <f t="shared" si="3"/>
        <v>91.199999999999989</v>
      </c>
      <c r="F38" s="114"/>
      <c r="G38" s="110">
        <f t="shared" si="4"/>
        <v>1527.9</v>
      </c>
      <c r="H38" s="111">
        <f>+G38+E38+C38</f>
        <v>19862.71</v>
      </c>
      <c r="I38" s="26">
        <f t="shared" si="1"/>
        <v>4659.7917660000003</v>
      </c>
      <c r="J38" s="26">
        <f t="shared" si="2"/>
        <v>1471.8268109999999</v>
      </c>
      <c r="K38" s="113">
        <f>H38*8.5%</f>
        <v>1688.33035</v>
      </c>
      <c r="L38" s="45">
        <f t="shared" si="6"/>
        <v>27682.658927</v>
      </c>
      <c r="M38" s="51"/>
      <c r="N38" s="28">
        <f t="shared" si="10"/>
        <v>0</v>
      </c>
    </row>
    <row r="39" spans="1:18" x14ac:dyDescent="0.3">
      <c r="A39" s="70"/>
      <c r="B39" s="69"/>
      <c r="C39" s="61"/>
      <c r="D39" s="60"/>
      <c r="E39" s="63"/>
      <c r="F39" s="63"/>
      <c r="G39" s="61"/>
      <c r="H39" s="64"/>
      <c r="I39" s="64"/>
      <c r="J39" s="64"/>
      <c r="K39" s="68"/>
      <c r="L39" s="68"/>
      <c r="M39" s="64"/>
      <c r="N39" s="65"/>
    </row>
    <row r="40" spans="1:18" ht="15.75" customHeight="1" x14ac:dyDescent="0.35">
      <c r="A40" s="35"/>
      <c r="B40" s="52"/>
      <c r="C40" s="103"/>
      <c r="D40" s="54"/>
      <c r="E40" s="104"/>
      <c r="F40" s="104"/>
      <c r="G40" s="103"/>
      <c r="H40" s="54"/>
      <c r="I40" s="54"/>
      <c r="J40" s="105" t="s">
        <v>67</v>
      </c>
      <c r="K40" s="98" t="s">
        <v>68</v>
      </c>
      <c r="L40" s="102"/>
      <c r="M40" s="99">
        <f>+M10</f>
        <v>0</v>
      </c>
      <c r="N40" s="100">
        <f>+N10</f>
        <v>0</v>
      </c>
    </row>
    <row r="41" spans="1:18" ht="18" customHeight="1" x14ac:dyDescent="0.35">
      <c r="A41" s="35"/>
      <c r="B41" s="35"/>
      <c r="C41" s="35"/>
      <c r="D41" s="35"/>
      <c r="E41" s="52"/>
      <c r="F41" s="52"/>
      <c r="G41" s="35"/>
      <c r="H41" s="35"/>
      <c r="I41" s="35"/>
      <c r="J41" s="105" t="s">
        <v>67</v>
      </c>
      <c r="K41" s="98" t="s">
        <v>69</v>
      </c>
      <c r="L41" s="102"/>
      <c r="M41" s="101">
        <f>+SUM(M11:M38)</f>
        <v>8</v>
      </c>
      <c r="N41" s="101">
        <f>+SUM(N11:N38)</f>
        <v>355179.33012099995</v>
      </c>
    </row>
    <row r="42" spans="1:18" ht="18.75" customHeight="1" x14ac:dyDescent="0.3">
      <c r="K42" s="98" t="s">
        <v>70</v>
      </c>
      <c r="L42" s="98"/>
      <c r="M42" s="98">
        <f>+SUM(M10:M38)</f>
        <v>8</v>
      </c>
      <c r="N42" s="98">
        <f>+SUM(N10:N38)</f>
        <v>355179.33012099995</v>
      </c>
      <c r="P42" s="35"/>
    </row>
    <row r="43" spans="1:18" x14ac:dyDescent="0.3">
      <c r="A43" s="35" t="s">
        <v>71</v>
      </c>
      <c r="B43" s="35"/>
      <c r="C43" s="35"/>
      <c r="D43" s="35"/>
      <c r="E43" s="35"/>
      <c r="F43" s="35"/>
      <c r="G43" s="35"/>
      <c r="H43" s="35"/>
      <c r="I43" s="35"/>
      <c r="J43" s="35"/>
      <c r="K43" s="35"/>
      <c r="L43" s="35"/>
      <c r="M43" s="35"/>
      <c r="N43" s="35"/>
    </row>
    <row r="44" spans="1:18" x14ac:dyDescent="0.3">
      <c r="A44" s="35"/>
      <c r="B44" s="35"/>
      <c r="C44" s="35"/>
      <c r="D44" s="35"/>
      <c r="E44" s="35"/>
      <c r="F44" s="35"/>
      <c r="G44" s="35"/>
      <c r="H44" s="35"/>
      <c r="I44" s="35"/>
      <c r="J44" s="35"/>
      <c r="K44" s="35"/>
      <c r="L44" s="35"/>
      <c r="M44" s="35"/>
      <c r="N44" s="35"/>
    </row>
    <row r="45" spans="1:18" x14ac:dyDescent="0.3">
      <c r="A45" s="122" t="s">
        <v>72</v>
      </c>
      <c r="B45" s="122"/>
      <c r="C45" s="122"/>
      <c r="D45" s="122"/>
      <c r="E45" s="122"/>
      <c r="F45" s="122"/>
      <c r="G45" s="122"/>
      <c r="H45" s="122"/>
      <c r="I45" s="122"/>
      <c r="J45" s="122"/>
      <c r="K45" s="122"/>
      <c r="L45" s="122"/>
      <c r="M45" s="122"/>
      <c r="N45" s="122"/>
      <c r="O45" s="123"/>
    </row>
    <row r="46" spans="1:18" x14ac:dyDescent="0.3">
      <c r="A46" s="122" t="s">
        <v>73</v>
      </c>
      <c r="B46" s="122"/>
      <c r="C46" s="122"/>
      <c r="D46" s="122"/>
      <c r="E46" s="122"/>
      <c r="F46" s="122"/>
      <c r="G46" s="122"/>
      <c r="H46" s="122"/>
      <c r="I46" s="122"/>
      <c r="J46" s="122"/>
      <c r="K46" s="122"/>
      <c r="L46" s="122"/>
      <c r="M46" s="122"/>
      <c r="N46" s="122"/>
      <c r="O46" s="123"/>
    </row>
    <row r="47" spans="1:18" x14ac:dyDescent="0.3">
      <c r="A47" s="35"/>
      <c r="B47" s="35"/>
      <c r="C47" s="35"/>
      <c r="D47" s="35"/>
      <c r="E47" s="35"/>
      <c r="F47" s="35"/>
      <c r="G47" s="35"/>
      <c r="H47" s="35"/>
      <c r="I47" s="35"/>
      <c r="J47" s="35"/>
      <c r="K47" s="35"/>
      <c r="L47" s="35"/>
      <c r="M47" s="35"/>
      <c r="N47" s="35"/>
    </row>
    <row r="48" spans="1:18" x14ac:dyDescent="0.3">
      <c r="A48" s="35" t="s">
        <v>74</v>
      </c>
      <c r="B48" s="35"/>
      <c r="C48" s="35"/>
      <c r="D48" s="35"/>
      <c r="E48" s="35"/>
      <c r="F48" s="35"/>
      <c r="G48" s="35"/>
      <c r="I48" s="35"/>
      <c r="J48" s="35"/>
      <c r="K48" s="35"/>
      <c r="L48" s="35"/>
      <c r="M48" s="35"/>
      <c r="N48" s="35"/>
    </row>
    <row r="49" spans="1:15" x14ac:dyDescent="0.3">
      <c r="A49" s="35"/>
      <c r="B49" s="35"/>
      <c r="C49" s="35"/>
      <c r="D49" s="35"/>
      <c r="E49" s="35"/>
      <c r="F49" s="35"/>
      <c r="I49" s="35"/>
      <c r="J49" s="35"/>
      <c r="K49" s="35"/>
      <c r="L49" s="35"/>
      <c r="M49" s="35"/>
      <c r="N49" s="35"/>
    </row>
    <row r="50" spans="1:15" x14ac:dyDescent="0.3">
      <c r="M50" s="57"/>
      <c r="N50" s="57"/>
      <c r="O50" s="35"/>
    </row>
    <row r="51" spans="1:15" x14ac:dyDescent="0.3">
      <c r="O51" s="35"/>
    </row>
    <row r="60" spans="1:15" x14ac:dyDescent="0.3">
      <c r="M60" s="35"/>
    </row>
    <row r="61" spans="1:15" x14ac:dyDescent="0.3">
      <c r="M61" s="35"/>
    </row>
    <row r="62" spans="1:15" x14ac:dyDescent="0.3">
      <c r="M62" s="35"/>
      <c r="N62" s="35"/>
    </row>
    <row r="63" spans="1:15" x14ac:dyDescent="0.3">
      <c r="M63" s="35"/>
      <c r="N63" s="35"/>
    </row>
    <row r="64" spans="1:15" x14ac:dyDescent="0.3">
      <c r="M64" s="35"/>
      <c r="N64" s="35"/>
    </row>
    <row r="65" spans="13:14" x14ac:dyDescent="0.3">
      <c r="M65" s="35"/>
      <c r="N65" s="35"/>
    </row>
    <row r="66" spans="13:14" x14ac:dyDescent="0.3">
      <c r="M66" s="35"/>
      <c r="N66" s="35"/>
    </row>
    <row r="67" spans="13:14" x14ac:dyDescent="0.3">
      <c r="M67" s="35"/>
      <c r="N67" s="35"/>
    </row>
    <row r="68" spans="13:14" x14ac:dyDescent="0.3">
      <c r="N68" s="35"/>
    </row>
    <row r="69" spans="13:14" x14ac:dyDescent="0.3">
      <c r="N69" s="35"/>
    </row>
  </sheetData>
  <sheetProtection selectLockedCells="1" selectUnlockedCells="1"/>
  <mergeCells count="38">
    <mergeCell ref="I1:L1"/>
    <mergeCell ref="M1:O1"/>
    <mergeCell ref="I2:L3"/>
    <mergeCell ref="A1:B1"/>
    <mergeCell ref="A2:B2"/>
    <mergeCell ref="G6:G9"/>
    <mergeCell ref="H6:H9"/>
    <mergeCell ref="A5:O5"/>
    <mergeCell ref="I6:I9"/>
    <mergeCell ref="J6:J9"/>
    <mergeCell ref="K6:K9"/>
    <mergeCell ref="L6:L9"/>
    <mergeCell ref="A6:A11"/>
    <mergeCell ref="B6:B9"/>
    <mergeCell ref="C6:C9"/>
    <mergeCell ref="D6:D9"/>
    <mergeCell ref="E6:E9"/>
    <mergeCell ref="F6:F9"/>
    <mergeCell ref="K13:K16"/>
    <mergeCell ref="L13:L16"/>
    <mergeCell ref="M13:M16"/>
    <mergeCell ref="N13:N16"/>
    <mergeCell ref="M6:M9"/>
    <mergeCell ref="N6:N9"/>
    <mergeCell ref="A17:A20"/>
    <mergeCell ref="A21:A27"/>
    <mergeCell ref="A29:A34"/>
    <mergeCell ref="A36:A38"/>
    <mergeCell ref="I13:I16"/>
    <mergeCell ref="E13:E16"/>
    <mergeCell ref="F13:F16"/>
    <mergeCell ref="G13:G16"/>
    <mergeCell ref="H13:H16"/>
    <mergeCell ref="J13:J16"/>
    <mergeCell ref="A13:A16"/>
    <mergeCell ref="B13:B16"/>
    <mergeCell ref="C13:C16"/>
    <mergeCell ref="D13:D16"/>
  </mergeCells>
  <hyperlinks>
    <hyperlink ref="D3" r:id="rId1" xr:uid="{00000000-0004-0000-0400-000000000000}"/>
  </hyperlinks>
  <pageMargins left="0.45" right="0.47013888888888888" top="0.62013888888888891" bottom="0.47013888888888888" header="0.51180555555555551" footer="0.51180555555555551"/>
  <pageSetup paperSize="9" scale="73" firstPageNumber="0" orientation="landscape"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0"/>
  <sheetViews>
    <sheetView topLeftCell="G3" zoomScale="80" zoomScaleNormal="80" workbookViewId="0">
      <selection activeCell="D6" sqref="D6:D9"/>
    </sheetView>
  </sheetViews>
  <sheetFormatPr defaultColWidth="8.5546875" defaultRowHeight="15.6" x14ac:dyDescent="0.3"/>
  <cols>
    <col min="1" max="1" width="14" style="29" customWidth="1"/>
    <col min="2" max="2" width="24.44140625" style="29" customWidth="1"/>
    <col min="3" max="3" width="24.5546875" style="29" customWidth="1"/>
    <col min="4" max="4" width="27.44140625" style="29" customWidth="1"/>
    <col min="5" max="5" width="14.44140625" style="29" customWidth="1"/>
    <col min="6" max="6" width="14.21875" style="29" customWidth="1"/>
    <col min="7" max="7" width="12.77734375" style="29" customWidth="1"/>
    <col min="8" max="8" width="21.77734375" style="29" customWidth="1"/>
    <col min="9" max="9" width="14.21875" style="29" customWidth="1"/>
    <col min="10" max="10" width="11.77734375" style="29" customWidth="1"/>
    <col min="11" max="11" width="12.77734375" style="29" customWidth="1"/>
    <col min="12" max="12" width="16.77734375" style="29" customWidth="1"/>
    <col min="13" max="13" width="22.21875" style="89" customWidth="1"/>
    <col min="14" max="14" width="21.21875" style="89" bestFit="1" customWidth="1"/>
    <col min="15" max="15" width="20.33203125" style="89" bestFit="1" customWidth="1"/>
    <col min="16" max="16" width="26.33203125" style="89" customWidth="1"/>
    <col min="17" max="17" width="1.21875" style="29" customWidth="1"/>
    <col min="18" max="18" width="12" style="29" customWidth="1"/>
    <col min="19" max="19" width="40.5546875" style="29" customWidth="1"/>
    <col min="20" max="21" width="12" style="29" customWidth="1"/>
    <col min="22" max="16384" width="8.5546875" style="29"/>
  </cols>
  <sheetData>
    <row r="1" spans="1:20" ht="49.8" x14ac:dyDescent="0.35">
      <c r="A1" s="298" t="s">
        <v>0</v>
      </c>
      <c r="B1" s="299"/>
      <c r="C1" s="180" t="s">
        <v>1</v>
      </c>
      <c r="D1" s="181"/>
      <c r="E1" s="36"/>
      <c r="F1" s="35"/>
      <c r="G1" s="35"/>
      <c r="H1" s="35"/>
      <c r="I1" s="259" t="s">
        <v>50</v>
      </c>
      <c r="J1" s="260"/>
      <c r="K1" s="260"/>
      <c r="L1" s="261"/>
      <c r="M1" s="74" t="s">
        <v>78</v>
      </c>
      <c r="N1" s="75" t="s">
        <v>79</v>
      </c>
      <c r="O1" s="173" t="s">
        <v>80</v>
      </c>
      <c r="P1" s="77"/>
    </row>
    <row r="2" spans="1:20" ht="48" customHeight="1" x14ac:dyDescent="0.3">
      <c r="A2" s="300" t="s">
        <v>3</v>
      </c>
      <c r="B2" s="301"/>
      <c r="C2" s="176"/>
      <c r="D2" s="182"/>
      <c r="E2" s="36"/>
      <c r="F2" s="35"/>
      <c r="G2" s="35"/>
      <c r="H2" s="37"/>
      <c r="I2" s="289" t="s">
        <v>4</v>
      </c>
      <c r="J2" s="290"/>
      <c r="K2" s="290"/>
      <c r="L2" s="291"/>
      <c r="M2" s="195">
        <f>'Tab. 3.1  Cessati anno 2022'!$N$41</f>
        <v>270522.35456400004</v>
      </c>
      <c r="N2" s="196">
        <f>754061.26</f>
        <v>754061.26</v>
      </c>
      <c r="O2" s="197">
        <v>742815.05</v>
      </c>
      <c r="P2" s="174"/>
    </row>
    <row r="3" spans="1:20" ht="38.549999999999997" customHeight="1" thickBot="1" x14ac:dyDescent="0.35">
      <c r="A3" s="183" t="s">
        <v>5</v>
      </c>
      <c r="B3" s="184" t="s">
        <v>6</v>
      </c>
      <c r="C3" s="184" t="s">
        <v>7</v>
      </c>
      <c r="D3" s="189" t="s">
        <v>8</v>
      </c>
      <c r="E3" s="36"/>
      <c r="F3" s="35"/>
      <c r="G3" s="35"/>
      <c r="H3" s="35"/>
      <c r="I3" s="292"/>
      <c r="J3" s="293"/>
      <c r="K3" s="293"/>
      <c r="L3" s="294"/>
      <c r="M3" s="35"/>
      <c r="N3" s="35"/>
      <c r="O3" s="35"/>
      <c r="P3" s="35"/>
    </row>
    <row r="4" spans="1:20" ht="16.5" customHeight="1" x14ac:dyDescent="0.3">
      <c r="A4" s="38"/>
      <c r="B4" s="38"/>
      <c r="C4" s="38"/>
      <c r="D4" s="38"/>
      <c r="E4" s="38"/>
      <c r="F4" s="38"/>
      <c r="G4" s="38"/>
      <c r="H4" s="38"/>
      <c r="I4" s="38"/>
      <c r="J4" s="38"/>
      <c r="K4" s="38"/>
      <c r="L4" s="38"/>
      <c r="M4" s="79"/>
      <c r="N4" s="79"/>
      <c r="O4" s="79"/>
      <c r="P4" s="79"/>
    </row>
    <row r="5" spans="1:20" ht="19.5" customHeight="1" x14ac:dyDescent="0.3">
      <c r="A5" s="306" t="s">
        <v>81</v>
      </c>
      <c r="B5" s="306"/>
      <c r="C5" s="306"/>
      <c r="D5" s="306"/>
      <c r="E5" s="306"/>
      <c r="F5" s="306"/>
      <c r="G5" s="306"/>
      <c r="H5" s="306"/>
      <c r="I5" s="306"/>
      <c r="J5" s="306"/>
      <c r="K5" s="306"/>
      <c r="L5" s="306"/>
      <c r="M5" s="306"/>
      <c r="N5" s="306"/>
      <c r="O5" s="306"/>
      <c r="P5" s="306"/>
    </row>
    <row r="6" spans="1:20" ht="15" customHeight="1" x14ac:dyDescent="0.3">
      <c r="A6" s="269" t="s">
        <v>10</v>
      </c>
      <c r="B6" s="242" t="s">
        <v>82</v>
      </c>
      <c r="C6" s="242" t="s">
        <v>12</v>
      </c>
      <c r="D6" s="242" t="s">
        <v>13</v>
      </c>
      <c r="E6" s="242" t="s">
        <v>14</v>
      </c>
      <c r="F6" s="242" t="s">
        <v>15</v>
      </c>
      <c r="G6" s="242" t="s">
        <v>16</v>
      </c>
      <c r="H6" s="266" t="s">
        <v>17</v>
      </c>
      <c r="I6" s="241" t="s">
        <v>18</v>
      </c>
      <c r="J6" s="241" t="s">
        <v>19</v>
      </c>
      <c r="K6" s="241" t="s">
        <v>20</v>
      </c>
      <c r="L6" s="254" t="s">
        <v>21</v>
      </c>
      <c r="M6" s="242" t="s">
        <v>83</v>
      </c>
      <c r="N6" s="242" t="s">
        <v>84</v>
      </c>
      <c r="O6" s="303" t="s">
        <v>85</v>
      </c>
      <c r="P6" s="307" t="s">
        <v>86</v>
      </c>
    </row>
    <row r="7" spans="1:20" ht="15" customHeight="1" x14ac:dyDescent="0.3">
      <c r="A7" s="269"/>
      <c r="B7" s="242"/>
      <c r="C7" s="242"/>
      <c r="D7" s="242"/>
      <c r="E7" s="242"/>
      <c r="F7" s="242"/>
      <c r="G7" s="242"/>
      <c r="H7" s="266"/>
      <c r="I7" s="242"/>
      <c r="J7" s="242"/>
      <c r="K7" s="242"/>
      <c r="L7" s="254"/>
      <c r="M7" s="242"/>
      <c r="N7" s="242"/>
      <c r="O7" s="303"/>
      <c r="P7" s="307"/>
    </row>
    <row r="8" spans="1:20" ht="15" customHeight="1" x14ac:dyDescent="0.3">
      <c r="A8" s="269"/>
      <c r="B8" s="242"/>
      <c r="C8" s="242"/>
      <c r="D8" s="242"/>
      <c r="E8" s="242"/>
      <c r="F8" s="242"/>
      <c r="G8" s="242"/>
      <c r="H8" s="266"/>
      <c r="I8" s="242"/>
      <c r="J8" s="242"/>
      <c r="K8" s="242"/>
      <c r="L8" s="254"/>
      <c r="M8" s="242"/>
      <c r="N8" s="242"/>
      <c r="O8" s="303"/>
      <c r="P8" s="307"/>
      <c r="S8" s="191"/>
    </row>
    <row r="9" spans="1:20" ht="69.599999999999994" customHeight="1" x14ac:dyDescent="0.3">
      <c r="A9" s="269"/>
      <c r="B9" s="243"/>
      <c r="C9" s="242"/>
      <c r="D9" s="243"/>
      <c r="E9" s="243"/>
      <c r="F9" s="243"/>
      <c r="G9" s="243"/>
      <c r="H9" s="267"/>
      <c r="I9" s="243"/>
      <c r="J9" s="243"/>
      <c r="K9" s="243"/>
      <c r="L9" s="255"/>
      <c r="M9" s="243"/>
      <c r="N9" s="243"/>
      <c r="O9" s="304"/>
      <c r="P9" s="308"/>
      <c r="T9" s="239"/>
    </row>
    <row r="10" spans="1:20" ht="18" customHeight="1" x14ac:dyDescent="0.3">
      <c r="A10" s="269"/>
      <c r="B10" s="236" t="s">
        <v>147</v>
      </c>
      <c r="C10" s="229">
        <f>4623.3*12</f>
        <v>55479.600000000006</v>
      </c>
      <c r="D10" s="230"/>
      <c r="E10" s="231">
        <f>23.12*12</f>
        <v>277.44</v>
      </c>
      <c r="F10" s="231"/>
      <c r="G10" s="232">
        <f>(C10+E10)/12</f>
        <v>4646.420000000001</v>
      </c>
      <c r="H10" s="233">
        <f>SUM(C10:G10)</f>
        <v>60403.460000000006</v>
      </c>
      <c r="I10" s="232">
        <f>H10*23.46%</f>
        <v>14170.651716000002</v>
      </c>
      <c r="J10" s="232">
        <f>H10*7.41%</f>
        <v>4475.8963860000003</v>
      </c>
      <c r="K10" s="232">
        <f>H10*8.5%</f>
        <v>5134.294100000001</v>
      </c>
      <c r="L10" s="237">
        <f>SUM(H10:K10)</f>
        <v>84184.302202000021</v>
      </c>
      <c r="M10" s="163"/>
      <c r="N10" s="11"/>
      <c r="O10" s="80"/>
      <c r="P10" s="107">
        <f>+(M10+N10+O10)*L10</f>
        <v>0</v>
      </c>
      <c r="T10" s="239"/>
    </row>
    <row r="11" spans="1:20" ht="18" customHeight="1" x14ac:dyDescent="0.3">
      <c r="A11" s="270"/>
      <c r="B11" s="236" t="s">
        <v>25</v>
      </c>
      <c r="C11" s="229">
        <f>3616.6*12</f>
        <v>43399.199999999997</v>
      </c>
      <c r="D11" s="234"/>
      <c r="E11" s="235">
        <f>18.08*12</f>
        <v>216.95999999999998</v>
      </c>
      <c r="F11" s="235"/>
      <c r="G11" s="232">
        <f>(C11+E11)/12</f>
        <v>3634.68</v>
      </c>
      <c r="H11" s="233">
        <f>SUM(C11:G11)</f>
        <v>47250.84</v>
      </c>
      <c r="I11" s="232">
        <f>H11*23.46%</f>
        <v>11085.047063999998</v>
      </c>
      <c r="J11" s="232">
        <f>H11*7.41%</f>
        <v>3501.2872439999996</v>
      </c>
      <c r="K11" s="232">
        <f>H11*8.5%</f>
        <v>4016.3213999999998</v>
      </c>
      <c r="L11" s="237">
        <f>SUM(H11:K11)</f>
        <v>65853.495707999988</v>
      </c>
      <c r="M11" s="14">
        <v>1</v>
      </c>
      <c r="N11" s="204">
        <v>1</v>
      </c>
      <c r="O11" s="81"/>
      <c r="P11" s="107">
        <f>+(M11+N11+O11)*L11</f>
        <v>131706.99141599998</v>
      </c>
      <c r="R11" s="30"/>
      <c r="T11" s="239"/>
    </row>
    <row r="12" spans="1:20" ht="45.45" customHeight="1" x14ac:dyDescent="0.3">
      <c r="A12" s="40"/>
      <c r="B12" s="41"/>
      <c r="C12" s="42"/>
      <c r="D12" s="43"/>
      <c r="E12" s="43"/>
      <c r="F12" s="43"/>
      <c r="G12" s="43"/>
      <c r="H12" s="43"/>
      <c r="I12" s="43"/>
      <c r="J12" s="43"/>
      <c r="K12" s="43"/>
      <c r="L12" s="43"/>
      <c r="M12" s="44"/>
      <c r="N12" s="44"/>
      <c r="O12" s="44"/>
      <c r="P12" s="82"/>
      <c r="Q12" s="30"/>
      <c r="R12" s="30"/>
      <c r="S12" s="240"/>
    </row>
    <row r="13" spans="1:20" ht="15" customHeight="1" x14ac:dyDescent="0.3">
      <c r="A13" s="268" t="s">
        <v>26</v>
      </c>
      <c r="B13" s="286" t="s">
        <v>87</v>
      </c>
      <c r="C13" s="241" t="s">
        <v>28</v>
      </c>
      <c r="D13" s="244"/>
      <c r="E13" s="241" t="s">
        <v>14</v>
      </c>
      <c r="F13" s="241" t="s">
        <v>15</v>
      </c>
      <c r="G13" s="241" t="s">
        <v>16</v>
      </c>
      <c r="H13" s="265" t="s">
        <v>17</v>
      </c>
      <c r="I13" s="241" t="s">
        <v>18</v>
      </c>
      <c r="J13" s="241" t="s">
        <v>19</v>
      </c>
      <c r="K13" s="241" t="s">
        <v>20</v>
      </c>
      <c r="L13" s="282" t="s">
        <v>21</v>
      </c>
      <c r="M13" s="241" t="s">
        <v>88</v>
      </c>
      <c r="N13" s="241" t="s">
        <v>84</v>
      </c>
      <c r="O13" s="241" t="s">
        <v>89</v>
      </c>
      <c r="P13" s="309" t="s">
        <v>86</v>
      </c>
      <c r="Q13" s="30"/>
      <c r="R13" s="30"/>
    </row>
    <row r="14" spans="1:20" ht="15" customHeight="1" x14ac:dyDescent="0.3">
      <c r="A14" s="269"/>
      <c r="B14" s="287"/>
      <c r="C14" s="242"/>
      <c r="D14" s="245"/>
      <c r="E14" s="242"/>
      <c r="F14" s="242"/>
      <c r="G14" s="242"/>
      <c r="H14" s="266"/>
      <c r="I14" s="242"/>
      <c r="J14" s="242"/>
      <c r="K14" s="242"/>
      <c r="L14" s="282"/>
      <c r="M14" s="242"/>
      <c r="N14" s="242"/>
      <c r="O14" s="242"/>
      <c r="P14" s="307"/>
      <c r="Q14" s="30"/>
      <c r="R14" s="30"/>
    </row>
    <row r="15" spans="1:20" ht="15" customHeight="1" x14ac:dyDescent="0.3">
      <c r="A15" s="269"/>
      <c r="B15" s="287"/>
      <c r="C15" s="242"/>
      <c r="D15" s="245"/>
      <c r="E15" s="242"/>
      <c r="F15" s="242"/>
      <c r="G15" s="242"/>
      <c r="H15" s="266"/>
      <c r="I15" s="242"/>
      <c r="J15" s="242"/>
      <c r="K15" s="242"/>
      <c r="L15" s="282"/>
      <c r="M15" s="242"/>
      <c r="N15" s="242"/>
      <c r="O15" s="242"/>
      <c r="P15" s="307"/>
    </row>
    <row r="16" spans="1:20" ht="67.5" customHeight="1" x14ac:dyDescent="0.3">
      <c r="A16" s="270"/>
      <c r="B16" s="288"/>
      <c r="C16" s="243"/>
      <c r="D16" s="246"/>
      <c r="E16" s="243"/>
      <c r="F16" s="243"/>
      <c r="G16" s="243"/>
      <c r="H16" s="267"/>
      <c r="I16" s="243"/>
      <c r="J16" s="243"/>
      <c r="K16" s="243"/>
      <c r="L16" s="282"/>
      <c r="M16" s="243"/>
      <c r="N16" s="243"/>
      <c r="O16" s="305"/>
      <c r="P16" s="308"/>
      <c r="R16" s="30"/>
    </row>
    <row r="17" spans="1:18" ht="15.6" customHeight="1" x14ac:dyDescent="0.3">
      <c r="A17" s="268" t="s">
        <v>31</v>
      </c>
      <c r="B17" s="23" t="s">
        <v>32</v>
      </c>
      <c r="C17" s="26">
        <v>44674.87</v>
      </c>
      <c r="D17" s="58"/>
      <c r="E17" s="25">
        <f>+ROUND(C17/12*0.005,2)*12</f>
        <v>223.32</v>
      </c>
      <c r="F17" s="109"/>
      <c r="G17" s="110">
        <f>+ROUND((C17+E17+F17)/12,2)</f>
        <v>3741.52</v>
      </c>
      <c r="H17" s="111">
        <f t="shared" ref="H17:H28" si="0">+G17+E17+C17</f>
        <v>48639.710000000006</v>
      </c>
      <c r="I17" s="26">
        <f>H17*23.46%</f>
        <v>11410.875966000001</v>
      </c>
      <c r="J17" s="26">
        <f>H17*7.41%</f>
        <v>3604.2025110000004</v>
      </c>
      <c r="K17" s="113">
        <f t="shared" ref="K17:K22" si="1">H17*8.5%</f>
        <v>4134.3753500000012</v>
      </c>
      <c r="L17" s="45">
        <f>+H17+I17+J17+K17</f>
        <v>67789.163827000011</v>
      </c>
      <c r="M17" s="50"/>
      <c r="N17" s="83"/>
      <c r="O17" s="49"/>
      <c r="P17" s="107">
        <f>+(M17+N17+O17)*L17</f>
        <v>0</v>
      </c>
    </row>
    <row r="18" spans="1:18" x14ac:dyDescent="0.3">
      <c r="A18" s="269"/>
      <c r="B18" s="23" t="s">
        <v>33</v>
      </c>
      <c r="C18" s="26">
        <v>40560.15</v>
      </c>
      <c r="D18" s="58"/>
      <c r="E18" s="25">
        <f>+ROUND(C18/12*0.005,2)*12</f>
        <v>202.79999999999998</v>
      </c>
      <c r="F18" s="109"/>
      <c r="G18" s="110">
        <f>+ROUND((C18+E18+F18)/12,2)</f>
        <v>3396.91</v>
      </c>
      <c r="H18" s="111">
        <f t="shared" si="0"/>
        <v>44159.86</v>
      </c>
      <c r="I18" s="26">
        <f t="shared" ref="I18:I41" si="2">H18*23.46%</f>
        <v>10359.903156</v>
      </c>
      <c r="J18" s="26">
        <f t="shared" ref="J18:J41" si="3">H18*7.41%</f>
        <v>3272.2456259999999</v>
      </c>
      <c r="K18" s="113">
        <f t="shared" si="1"/>
        <v>3753.5881000000004</v>
      </c>
      <c r="L18" s="45">
        <f>+H18+I18+J18+K18</f>
        <v>61545.596882000005</v>
      </c>
      <c r="M18" s="50"/>
      <c r="N18" s="83"/>
      <c r="O18" s="49"/>
      <c r="P18" s="107">
        <f>+(M18+N18+O18)*L18</f>
        <v>0</v>
      </c>
    </row>
    <row r="19" spans="1:18" x14ac:dyDescent="0.3">
      <c r="A19" s="269"/>
      <c r="B19" s="23" t="s">
        <v>34</v>
      </c>
      <c r="C19" s="26">
        <v>34480.639999999999</v>
      </c>
      <c r="D19" s="58"/>
      <c r="E19" s="25">
        <f>+ROUND(C19/12*0.005,2)*12</f>
        <v>172.44</v>
      </c>
      <c r="F19" s="109"/>
      <c r="G19" s="110">
        <f>+ROUND((C19+E19+F19)/12,2)</f>
        <v>2887.76</v>
      </c>
      <c r="H19" s="111">
        <f t="shared" si="0"/>
        <v>37540.839999999997</v>
      </c>
      <c r="I19" s="26">
        <f t="shared" si="2"/>
        <v>8807.081064</v>
      </c>
      <c r="J19" s="26">
        <f t="shared" si="3"/>
        <v>2781.7762439999997</v>
      </c>
      <c r="K19" s="113">
        <f t="shared" si="1"/>
        <v>3190.9713999999999</v>
      </c>
      <c r="L19" s="45">
        <f>+H19+I19+J19+K19</f>
        <v>52320.668707999997</v>
      </c>
      <c r="M19" s="50"/>
      <c r="N19" s="83"/>
      <c r="O19" s="49"/>
      <c r="P19" s="107">
        <f>+(M19+N19+O19)*L19</f>
        <v>0</v>
      </c>
    </row>
    <row r="20" spans="1:18" x14ac:dyDescent="0.3">
      <c r="A20" s="269"/>
      <c r="B20" s="23" t="s">
        <v>35</v>
      </c>
      <c r="C20" s="26">
        <v>32491.32</v>
      </c>
      <c r="D20" s="58"/>
      <c r="E20" s="25">
        <f>+ROUND(C20/12*0.005,2)*12</f>
        <v>162.47999999999999</v>
      </c>
      <c r="F20" s="109"/>
      <c r="G20" s="110">
        <f>+ROUND((C20+E20+F20)/12,2)</f>
        <v>2721.15</v>
      </c>
      <c r="H20" s="111">
        <f>+G20+E20+C20</f>
        <v>35374.949999999997</v>
      </c>
      <c r="I20" s="26">
        <f t="shared" si="2"/>
        <v>8298.9632700000002</v>
      </c>
      <c r="J20" s="26">
        <f t="shared" si="3"/>
        <v>2621.2837949999998</v>
      </c>
      <c r="K20" s="113">
        <f t="shared" si="1"/>
        <v>3006.87075</v>
      </c>
      <c r="L20" s="45">
        <f>+H20+I20+J20+K20</f>
        <v>49302.067815000002</v>
      </c>
      <c r="M20" s="50"/>
      <c r="N20" s="83"/>
      <c r="O20" s="49"/>
      <c r="P20" s="107">
        <f>+(M20+N20+O20)*L20</f>
        <v>0</v>
      </c>
    </row>
    <row r="21" spans="1:18" x14ac:dyDescent="0.3">
      <c r="A21" s="270"/>
      <c r="B21" s="23" t="s">
        <v>90</v>
      </c>
      <c r="C21" s="26"/>
      <c r="D21" s="58"/>
      <c r="E21" s="25"/>
      <c r="F21" s="109"/>
      <c r="G21" s="110"/>
      <c r="H21" s="111"/>
      <c r="I21" s="26">
        <f t="shared" si="2"/>
        <v>0</v>
      </c>
      <c r="J21" s="26">
        <f t="shared" si="3"/>
        <v>0</v>
      </c>
      <c r="K21" s="113">
        <f t="shared" si="1"/>
        <v>0</v>
      </c>
      <c r="L21" s="45">
        <f>L20-L28</f>
        <v>13947.160072999999</v>
      </c>
      <c r="M21" s="50"/>
      <c r="N21" s="83"/>
      <c r="O21" s="49"/>
      <c r="P21" s="107">
        <f>L21*M21</f>
        <v>0</v>
      </c>
    </row>
    <row r="22" spans="1:18" ht="15.75" customHeight="1" x14ac:dyDescent="0.3">
      <c r="A22" s="310" t="s">
        <v>36</v>
      </c>
      <c r="B22" s="140" t="s">
        <v>34</v>
      </c>
      <c r="C22" s="142">
        <v>33614.480000000003</v>
      </c>
      <c r="D22" s="143"/>
      <c r="E22" s="144">
        <f>+ROUND(C22/12*0.005,2)*12</f>
        <v>168.12</v>
      </c>
      <c r="F22" s="145"/>
      <c r="G22" s="146">
        <f>+ROUND((C22+E22+F22)/12,2)</f>
        <v>2815.22</v>
      </c>
      <c r="H22" s="147">
        <f t="shared" si="0"/>
        <v>36597.82</v>
      </c>
      <c r="I22" s="26">
        <f t="shared" si="2"/>
        <v>8585.8485720000008</v>
      </c>
      <c r="J22" s="26">
        <f t="shared" si="3"/>
        <v>2711.8984620000001</v>
      </c>
      <c r="K22" s="148">
        <f t="shared" si="1"/>
        <v>3110.8147000000004</v>
      </c>
      <c r="L22" s="136">
        <f>+H22+I22+J22+K22</f>
        <v>51006.381734000002</v>
      </c>
      <c r="M22" s="72"/>
      <c r="N22" s="149"/>
      <c r="O22" s="87"/>
      <c r="P22" s="107">
        <f>+(M22+N22+O22)*L22</f>
        <v>0</v>
      </c>
    </row>
    <row r="23" spans="1:18" x14ac:dyDescent="0.3">
      <c r="A23" s="311"/>
      <c r="B23" s="139" t="s">
        <v>35</v>
      </c>
      <c r="C23" s="157">
        <v>31641</v>
      </c>
      <c r="D23" s="158"/>
      <c r="E23" s="159">
        <f t="shared" ref="E23:E41" si="4">+ROUND(C23/12*0.005,2)*12</f>
        <v>158.16</v>
      </c>
      <c r="F23" s="159"/>
      <c r="G23" s="110">
        <f t="shared" ref="G23:G41" si="5">+ROUND((C23+E23+F23)/12,2)</f>
        <v>2649.93</v>
      </c>
      <c r="H23" s="160">
        <f t="shared" si="0"/>
        <v>34449.089999999997</v>
      </c>
      <c r="I23" s="26">
        <f t="shared" si="2"/>
        <v>8081.7565139999997</v>
      </c>
      <c r="J23" s="26">
        <f t="shared" si="3"/>
        <v>2552.6775689999995</v>
      </c>
      <c r="K23" s="157">
        <f t="shared" ref="K23:K28" si="6">H23*8.5%</f>
        <v>2928.17265</v>
      </c>
      <c r="L23" s="45">
        <f t="shared" ref="L23:L41" si="7">+H23+I23+J23+K23</f>
        <v>48011.696732999997</v>
      </c>
      <c r="M23" s="46"/>
      <c r="N23" s="46"/>
      <c r="O23" s="46"/>
      <c r="P23" s="107">
        <f t="shared" ref="P23:P28" si="8">+(M23+N23+O23)*L23</f>
        <v>0</v>
      </c>
    </row>
    <row r="24" spans="1:18" x14ac:dyDescent="0.3">
      <c r="A24" s="311"/>
      <c r="B24" s="139" t="s">
        <v>37</v>
      </c>
      <c r="C24" s="157">
        <v>29655.67</v>
      </c>
      <c r="D24" s="158"/>
      <c r="E24" s="159">
        <f t="shared" si="4"/>
        <v>148.32</v>
      </c>
      <c r="F24" s="159"/>
      <c r="G24" s="110">
        <f t="shared" si="5"/>
        <v>2483.67</v>
      </c>
      <c r="H24" s="160">
        <f t="shared" si="0"/>
        <v>32287.66</v>
      </c>
      <c r="I24" s="26">
        <f t="shared" si="2"/>
        <v>7574.6850359999999</v>
      </c>
      <c r="J24" s="26">
        <f t="shared" si="3"/>
        <v>2392.5156059999999</v>
      </c>
      <c r="K24" s="157">
        <f t="shared" si="6"/>
        <v>2744.4511000000002</v>
      </c>
      <c r="L24" s="45">
        <f t="shared" si="7"/>
        <v>44999.311741999998</v>
      </c>
      <c r="M24" s="46"/>
      <c r="N24" s="209"/>
      <c r="O24" s="46"/>
      <c r="P24" s="107">
        <f t="shared" si="8"/>
        <v>0</v>
      </c>
    </row>
    <row r="25" spans="1:18" x14ac:dyDescent="0.3">
      <c r="A25" s="311"/>
      <c r="B25" s="139" t="s">
        <v>38</v>
      </c>
      <c r="C25" s="157">
        <v>27858.84</v>
      </c>
      <c r="D25" s="158"/>
      <c r="E25" s="159">
        <f t="shared" si="4"/>
        <v>139.32</v>
      </c>
      <c r="F25" s="159"/>
      <c r="G25" s="110">
        <f t="shared" si="5"/>
        <v>2333.1799999999998</v>
      </c>
      <c r="H25" s="160">
        <f t="shared" si="0"/>
        <v>30331.34</v>
      </c>
      <c r="I25" s="26">
        <f t="shared" si="2"/>
        <v>7115.7323640000004</v>
      </c>
      <c r="J25" s="26">
        <f t="shared" si="3"/>
        <v>2247.5522940000001</v>
      </c>
      <c r="K25" s="157">
        <f t="shared" si="6"/>
        <v>2578.1639</v>
      </c>
      <c r="L25" s="45">
        <f t="shared" si="7"/>
        <v>42272.788558</v>
      </c>
      <c r="M25" s="46"/>
      <c r="N25" s="209">
        <v>2</v>
      </c>
      <c r="O25" s="46"/>
      <c r="P25" s="107">
        <f t="shared" si="8"/>
        <v>84545.577116</v>
      </c>
      <c r="R25" s="222"/>
    </row>
    <row r="26" spans="1:18" x14ac:dyDescent="0.3">
      <c r="A26" s="311"/>
      <c r="B26" s="139" t="s">
        <v>39</v>
      </c>
      <c r="C26" s="157">
        <v>25373.64</v>
      </c>
      <c r="D26" s="158"/>
      <c r="E26" s="159">
        <f t="shared" si="4"/>
        <v>126.84</v>
      </c>
      <c r="F26" s="159"/>
      <c r="G26" s="110">
        <f t="shared" si="5"/>
        <v>2125.04</v>
      </c>
      <c r="H26" s="160">
        <f t="shared" si="0"/>
        <v>27625.52</v>
      </c>
      <c r="I26" s="26">
        <f t="shared" si="2"/>
        <v>6480.9469920000001</v>
      </c>
      <c r="J26" s="26">
        <f t="shared" si="3"/>
        <v>2047.0510320000001</v>
      </c>
      <c r="K26" s="157">
        <f t="shared" si="6"/>
        <v>2348.1692000000003</v>
      </c>
      <c r="L26" s="45">
        <f t="shared" si="7"/>
        <v>38501.687224000008</v>
      </c>
      <c r="M26" s="46"/>
      <c r="N26" s="46"/>
      <c r="O26" s="46"/>
      <c r="P26" s="107">
        <f t="shared" si="8"/>
        <v>0</v>
      </c>
    </row>
    <row r="27" spans="1:18" x14ac:dyDescent="0.3">
      <c r="A27" s="311"/>
      <c r="B27" s="139" t="s">
        <v>40</v>
      </c>
      <c r="C27" s="157">
        <v>24104.21</v>
      </c>
      <c r="D27" s="158"/>
      <c r="E27" s="159">
        <f t="shared" si="4"/>
        <v>120.47999999999999</v>
      </c>
      <c r="F27" s="159"/>
      <c r="G27" s="110">
        <f t="shared" si="5"/>
        <v>2018.72</v>
      </c>
      <c r="H27" s="160">
        <f t="shared" si="0"/>
        <v>26243.41</v>
      </c>
      <c r="I27" s="26">
        <f t="shared" si="2"/>
        <v>6156.7039860000004</v>
      </c>
      <c r="J27" s="26">
        <f t="shared" si="3"/>
        <v>1944.636681</v>
      </c>
      <c r="K27" s="157">
        <f t="shared" si="6"/>
        <v>2230.6898500000002</v>
      </c>
      <c r="L27" s="45">
        <f t="shared" si="7"/>
        <v>36575.440517000003</v>
      </c>
      <c r="M27" s="46"/>
      <c r="N27" s="46"/>
      <c r="O27" s="46"/>
      <c r="P27" s="107">
        <f t="shared" si="8"/>
        <v>0</v>
      </c>
    </row>
    <row r="28" spans="1:18" x14ac:dyDescent="0.3">
      <c r="A28" s="311"/>
      <c r="B28" s="139" t="s">
        <v>41</v>
      </c>
      <c r="C28" s="157">
        <v>23299.78</v>
      </c>
      <c r="D28" s="158"/>
      <c r="E28" s="159">
        <f t="shared" si="4"/>
        <v>116.52000000000001</v>
      </c>
      <c r="F28" s="159"/>
      <c r="G28" s="110">
        <f t="shared" si="5"/>
        <v>1951.36</v>
      </c>
      <c r="H28" s="160">
        <f t="shared" si="0"/>
        <v>25367.66</v>
      </c>
      <c r="I28" s="26">
        <f t="shared" si="2"/>
        <v>5951.2530360000001</v>
      </c>
      <c r="J28" s="26">
        <f t="shared" si="3"/>
        <v>1879.743606</v>
      </c>
      <c r="K28" s="157">
        <f t="shared" si="6"/>
        <v>2156.2511</v>
      </c>
      <c r="L28" s="45">
        <f t="shared" si="7"/>
        <v>35354.907742000003</v>
      </c>
      <c r="M28" s="46">
        <v>2</v>
      </c>
      <c r="N28" s="209">
        <v>2</v>
      </c>
      <c r="O28" s="209">
        <v>10</v>
      </c>
      <c r="P28" s="107">
        <f t="shared" si="8"/>
        <v>494968.70838800003</v>
      </c>
      <c r="R28" s="222"/>
    </row>
    <row r="29" spans="1:18" x14ac:dyDescent="0.3">
      <c r="A29" s="312"/>
      <c r="B29" s="139" t="s">
        <v>91</v>
      </c>
      <c r="C29" s="157"/>
      <c r="D29" s="158"/>
      <c r="E29" s="159"/>
      <c r="F29" s="159"/>
      <c r="G29" s="110"/>
      <c r="H29" s="160"/>
      <c r="I29" s="26">
        <f t="shared" si="2"/>
        <v>0</v>
      </c>
      <c r="J29" s="26">
        <f t="shared" si="3"/>
        <v>0</v>
      </c>
      <c r="K29" s="157"/>
      <c r="L29" s="45">
        <f>L28-L36</f>
        <v>6217.9228650000041</v>
      </c>
      <c r="M29" s="46"/>
      <c r="N29" s="209">
        <v>5</v>
      </c>
      <c r="O29" s="46"/>
      <c r="P29" s="108">
        <f>L29*N29</f>
        <v>31089.61432500002</v>
      </c>
    </row>
    <row r="30" spans="1:18" x14ac:dyDescent="0.3">
      <c r="A30" s="137"/>
      <c r="B30" s="141"/>
      <c r="C30" s="116"/>
      <c r="D30" s="65"/>
      <c r="E30" s="119"/>
      <c r="F30" s="119"/>
      <c r="G30" s="116"/>
      <c r="H30" s="116"/>
      <c r="I30" s="116">
        <f t="shared" si="2"/>
        <v>0</v>
      </c>
      <c r="J30" s="116">
        <f t="shared" si="3"/>
        <v>0</v>
      </c>
      <c r="K30" s="116"/>
      <c r="L30" s="116"/>
      <c r="M30" s="128"/>
      <c r="N30" s="128"/>
      <c r="O30" s="128"/>
      <c r="P30" s="65"/>
    </row>
    <row r="31" spans="1:18" ht="17.100000000000001" customHeight="1" x14ac:dyDescent="0.3">
      <c r="A31" s="313" t="s">
        <v>42</v>
      </c>
      <c r="B31" s="139" t="s">
        <v>35</v>
      </c>
      <c r="C31" s="157">
        <v>24043.33</v>
      </c>
      <c r="D31" s="158"/>
      <c r="E31" s="159">
        <f t="shared" si="4"/>
        <v>120.24</v>
      </c>
      <c r="F31" s="159"/>
      <c r="G31" s="110">
        <f t="shared" si="5"/>
        <v>2013.63</v>
      </c>
      <c r="H31" s="160">
        <f t="shared" ref="H31:H36" si="9">+G31+E31+C31</f>
        <v>26177.200000000001</v>
      </c>
      <c r="I31" s="26">
        <f t="shared" si="2"/>
        <v>6141.17112</v>
      </c>
      <c r="J31" s="26">
        <f t="shared" si="3"/>
        <v>1939.7305200000001</v>
      </c>
      <c r="K31" s="157">
        <f t="shared" ref="K31:K36" si="10">H31*8.5%</f>
        <v>2225.0620000000004</v>
      </c>
      <c r="L31" s="45">
        <f t="shared" si="7"/>
        <v>36483.163639999999</v>
      </c>
      <c r="M31" s="46"/>
      <c r="N31" s="46"/>
      <c r="O31" s="46"/>
      <c r="P31" s="108">
        <f t="shared" ref="P31:P35" si="11">+(M31+N31+O31)*L31</f>
        <v>0</v>
      </c>
    </row>
    <row r="32" spans="1:18" x14ac:dyDescent="0.3">
      <c r="A32" s="311"/>
      <c r="B32" s="139" t="s">
        <v>37</v>
      </c>
      <c r="C32" s="157">
        <v>23386.86</v>
      </c>
      <c r="D32" s="158"/>
      <c r="E32" s="159">
        <f t="shared" si="4"/>
        <v>116.88</v>
      </c>
      <c r="F32" s="159"/>
      <c r="G32" s="110">
        <f t="shared" si="5"/>
        <v>1958.65</v>
      </c>
      <c r="H32" s="160">
        <f t="shared" si="9"/>
        <v>25462.39</v>
      </c>
      <c r="I32" s="26">
        <f t="shared" si="2"/>
        <v>5973.476694</v>
      </c>
      <c r="J32" s="26">
        <f t="shared" si="3"/>
        <v>1886.763099</v>
      </c>
      <c r="K32" s="157">
        <f t="shared" si="10"/>
        <v>2164.3031500000002</v>
      </c>
      <c r="L32" s="45">
        <f t="shared" si="7"/>
        <v>35486.932943</v>
      </c>
      <c r="M32" s="46"/>
      <c r="N32" s="46"/>
      <c r="O32" s="46"/>
      <c r="P32" s="107">
        <f t="shared" si="11"/>
        <v>0</v>
      </c>
    </row>
    <row r="33" spans="1:23" x14ac:dyDescent="0.3">
      <c r="A33" s="311"/>
      <c r="B33" s="139" t="s">
        <v>38</v>
      </c>
      <c r="C33" s="157">
        <v>22793.040000000001</v>
      </c>
      <c r="D33" s="158"/>
      <c r="E33" s="159">
        <f t="shared" si="4"/>
        <v>114</v>
      </c>
      <c r="F33" s="159"/>
      <c r="G33" s="110">
        <f t="shared" si="5"/>
        <v>1908.92</v>
      </c>
      <c r="H33" s="160">
        <f t="shared" si="9"/>
        <v>24815.96</v>
      </c>
      <c r="I33" s="26">
        <f t="shared" si="2"/>
        <v>5821.824216</v>
      </c>
      <c r="J33" s="26">
        <f t="shared" si="3"/>
        <v>1838.8626359999998</v>
      </c>
      <c r="K33" s="157">
        <f t="shared" si="10"/>
        <v>2109.3566000000001</v>
      </c>
      <c r="L33" s="45">
        <f t="shared" si="7"/>
        <v>34586.003451999997</v>
      </c>
      <c r="M33" s="46"/>
      <c r="N33" s="209">
        <v>1</v>
      </c>
      <c r="O33" s="46"/>
      <c r="P33" s="107">
        <f t="shared" si="11"/>
        <v>34586.003451999997</v>
      </c>
    </row>
    <row r="34" spans="1:23" x14ac:dyDescent="0.3">
      <c r="A34" s="311"/>
      <c r="B34" s="139" t="s">
        <v>39</v>
      </c>
      <c r="C34" s="157">
        <v>21449.360000000001</v>
      </c>
      <c r="D34" s="158"/>
      <c r="E34" s="159">
        <f t="shared" si="4"/>
        <v>107.28</v>
      </c>
      <c r="F34" s="159"/>
      <c r="G34" s="110">
        <f t="shared" si="5"/>
        <v>1796.39</v>
      </c>
      <c r="H34" s="160">
        <f t="shared" si="9"/>
        <v>23353.03</v>
      </c>
      <c r="I34" s="26">
        <f t="shared" si="2"/>
        <v>5478.6208379999998</v>
      </c>
      <c r="J34" s="26">
        <f t="shared" si="3"/>
        <v>1730.459523</v>
      </c>
      <c r="K34" s="157">
        <f t="shared" si="10"/>
        <v>1985.00755</v>
      </c>
      <c r="L34" s="45">
        <f t="shared" si="7"/>
        <v>32547.117910999998</v>
      </c>
      <c r="M34" s="46"/>
      <c r="N34" s="209">
        <v>1</v>
      </c>
      <c r="O34" s="46"/>
      <c r="P34" s="107">
        <f t="shared" si="11"/>
        <v>32547.117910999998</v>
      </c>
    </row>
    <row r="35" spans="1:23" ht="15" customHeight="1" x14ac:dyDescent="0.3">
      <c r="A35" s="311"/>
      <c r="B35" s="139" t="s">
        <v>40</v>
      </c>
      <c r="C35" s="157">
        <v>20167.03</v>
      </c>
      <c r="D35" s="158"/>
      <c r="E35" s="159">
        <f t="shared" si="4"/>
        <v>100.80000000000001</v>
      </c>
      <c r="F35" s="159"/>
      <c r="G35" s="110">
        <f t="shared" si="5"/>
        <v>1688.99</v>
      </c>
      <c r="H35" s="160">
        <f t="shared" si="9"/>
        <v>21956.82</v>
      </c>
      <c r="I35" s="26">
        <f t="shared" si="2"/>
        <v>5151.0699720000002</v>
      </c>
      <c r="J35" s="26">
        <f t="shared" si="3"/>
        <v>1627.000362</v>
      </c>
      <c r="K35" s="157">
        <f t="shared" si="10"/>
        <v>1866.3297</v>
      </c>
      <c r="L35" s="45">
        <f t="shared" si="7"/>
        <v>30601.220033999998</v>
      </c>
      <c r="M35" s="46"/>
      <c r="N35" s="46"/>
      <c r="O35" s="46"/>
      <c r="P35" s="107">
        <f t="shared" si="11"/>
        <v>0</v>
      </c>
      <c r="R35" s="32"/>
    </row>
    <row r="36" spans="1:23" ht="15" customHeight="1" x14ac:dyDescent="0.3">
      <c r="A36" s="311"/>
      <c r="B36" s="139" t="s">
        <v>41</v>
      </c>
      <c r="C36" s="157">
        <v>19202.04</v>
      </c>
      <c r="D36" s="158"/>
      <c r="E36" s="159">
        <f t="shared" si="4"/>
        <v>96</v>
      </c>
      <c r="F36" s="159"/>
      <c r="G36" s="110">
        <f t="shared" si="5"/>
        <v>1608.17</v>
      </c>
      <c r="H36" s="160">
        <f t="shared" si="9"/>
        <v>20906.21</v>
      </c>
      <c r="I36" s="26">
        <f t="shared" si="2"/>
        <v>4904.5968659999999</v>
      </c>
      <c r="J36" s="26">
        <f t="shared" si="3"/>
        <v>1549.150161</v>
      </c>
      <c r="K36" s="157">
        <f t="shared" si="10"/>
        <v>1777.0278499999999</v>
      </c>
      <c r="L36" s="45">
        <f t="shared" si="7"/>
        <v>29136.984876999999</v>
      </c>
      <c r="M36" s="46">
        <v>4</v>
      </c>
      <c r="O36" s="46"/>
      <c r="P36" s="107">
        <f>+(M36+N37+O36)*L36</f>
        <v>174821.909262</v>
      </c>
      <c r="T36" s="161"/>
      <c r="U36" s="161"/>
      <c r="V36" s="161"/>
      <c r="W36" s="161"/>
    </row>
    <row r="37" spans="1:23" ht="15" customHeight="1" x14ac:dyDescent="0.3">
      <c r="A37" s="312"/>
      <c r="B37" s="139" t="s">
        <v>91</v>
      </c>
      <c r="C37" s="157"/>
      <c r="D37" s="158"/>
      <c r="E37" s="159"/>
      <c r="F37" s="159"/>
      <c r="G37" s="110"/>
      <c r="H37" s="160"/>
      <c r="I37" s="26">
        <f t="shared" si="2"/>
        <v>0</v>
      </c>
      <c r="J37" s="26">
        <f t="shared" si="3"/>
        <v>0</v>
      </c>
      <c r="K37" s="157"/>
      <c r="L37" s="45">
        <f>L36-L41</f>
        <v>1454.3259499999986</v>
      </c>
      <c r="M37" s="46"/>
      <c r="N37" s="209">
        <v>2</v>
      </c>
      <c r="O37" s="46"/>
      <c r="P37" s="108">
        <f>L37*N37</f>
        <v>2908.6518999999971</v>
      </c>
      <c r="R37" s="161"/>
    </row>
    <row r="38" spans="1:23" ht="15" customHeight="1" x14ac:dyDescent="0.3">
      <c r="A38" s="137"/>
      <c r="B38" s="150"/>
      <c r="C38" s="151"/>
      <c r="D38" s="152"/>
      <c r="E38" s="71"/>
      <c r="F38" s="153"/>
      <c r="G38" s="154"/>
      <c r="H38" s="155"/>
      <c r="I38" s="116">
        <f t="shared" si="2"/>
        <v>0</v>
      </c>
      <c r="J38" s="116">
        <f t="shared" si="3"/>
        <v>0</v>
      </c>
      <c r="K38" s="128"/>
      <c r="L38" s="156"/>
      <c r="M38" s="128"/>
      <c r="N38" s="128"/>
      <c r="O38" s="128"/>
      <c r="P38" s="65"/>
      <c r="R38" s="32"/>
    </row>
    <row r="39" spans="1:23" ht="15" customHeight="1" x14ac:dyDescent="0.3">
      <c r="A39" s="302" t="s">
        <v>43</v>
      </c>
      <c r="B39" s="139" t="s">
        <v>39</v>
      </c>
      <c r="C39" s="138">
        <v>19550.650000000001</v>
      </c>
      <c r="D39" s="59"/>
      <c r="E39" s="25">
        <f t="shared" si="4"/>
        <v>97.800000000000011</v>
      </c>
      <c r="F39" s="114"/>
      <c r="G39" s="110">
        <f t="shared" si="5"/>
        <v>1637.37</v>
      </c>
      <c r="H39" s="111">
        <f>+G39+E39+C39</f>
        <v>21285.82</v>
      </c>
      <c r="I39" s="26">
        <f t="shared" si="2"/>
        <v>4993.6533719999998</v>
      </c>
      <c r="J39" s="26">
        <f t="shared" si="3"/>
        <v>1577.279262</v>
      </c>
      <c r="K39" s="113">
        <f>H39*8.5%</f>
        <v>1809.2947000000001</v>
      </c>
      <c r="L39" s="45">
        <f t="shared" si="7"/>
        <v>29666.047333999999</v>
      </c>
      <c r="M39" s="50"/>
      <c r="N39" s="84"/>
      <c r="O39" s="49"/>
      <c r="P39" s="108">
        <f>+(M39+N39+O39)*L39</f>
        <v>0</v>
      </c>
      <c r="R39" s="32"/>
    </row>
    <row r="40" spans="1:23" x14ac:dyDescent="0.3">
      <c r="A40" s="302"/>
      <c r="B40" s="139" t="s">
        <v>40</v>
      </c>
      <c r="C40" s="138">
        <v>18864.71</v>
      </c>
      <c r="D40" s="59"/>
      <c r="E40" s="25">
        <f t="shared" si="4"/>
        <v>94.320000000000007</v>
      </c>
      <c r="F40" s="114"/>
      <c r="G40" s="110">
        <f t="shared" si="5"/>
        <v>1579.92</v>
      </c>
      <c r="H40" s="111">
        <f>+G40+E40+C40</f>
        <v>20538.95</v>
      </c>
      <c r="I40" s="26">
        <f t="shared" si="2"/>
        <v>4818.4376700000003</v>
      </c>
      <c r="J40" s="26">
        <f t="shared" si="3"/>
        <v>1521.936195</v>
      </c>
      <c r="K40" s="113">
        <f>H40*8.5%</f>
        <v>1745.8107500000001</v>
      </c>
      <c r="L40" s="45">
        <f t="shared" si="7"/>
        <v>28625.134614999999</v>
      </c>
      <c r="M40" s="50"/>
      <c r="N40" s="84"/>
      <c r="O40" s="49"/>
      <c r="P40" s="107">
        <f>+(M40+N40+O40)*L40</f>
        <v>0</v>
      </c>
    </row>
    <row r="41" spans="1:23" x14ac:dyDescent="0.3">
      <c r="A41" s="269"/>
      <c r="B41" s="23" t="s">
        <v>41</v>
      </c>
      <c r="C41" s="24">
        <v>18243.61</v>
      </c>
      <c r="D41" s="59"/>
      <c r="E41" s="25">
        <f t="shared" si="4"/>
        <v>91.199999999999989</v>
      </c>
      <c r="F41" s="114"/>
      <c r="G41" s="110">
        <f t="shared" si="5"/>
        <v>1527.9</v>
      </c>
      <c r="H41" s="111">
        <f>+G41+E41+C41</f>
        <v>19862.71</v>
      </c>
      <c r="I41" s="26">
        <f t="shared" si="2"/>
        <v>4659.7917660000003</v>
      </c>
      <c r="J41" s="26">
        <f t="shared" si="3"/>
        <v>1471.8268109999999</v>
      </c>
      <c r="K41" s="113">
        <f>H41*8.5%</f>
        <v>1688.33035</v>
      </c>
      <c r="L41" s="45">
        <f t="shared" si="7"/>
        <v>27682.658927</v>
      </c>
      <c r="M41" s="50"/>
      <c r="N41" s="84"/>
      <c r="O41" s="49"/>
      <c r="P41" s="107">
        <f>+(M41+N41+O41)*L41</f>
        <v>0</v>
      </c>
    </row>
    <row r="42" spans="1:23" x14ac:dyDescent="0.3">
      <c r="A42" s="70"/>
      <c r="B42" s="69"/>
      <c r="C42" s="61"/>
      <c r="D42" s="60"/>
      <c r="E42" s="63"/>
      <c r="F42" s="63"/>
      <c r="G42" s="61"/>
      <c r="H42" s="64"/>
      <c r="I42" s="64"/>
      <c r="J42" s="64"/>
      <c r="K42" s="64"/>
      <c r="L42" s="64"/>
      <c r="M42" s="68"/>
      <c r="N42" s="68"/>
      <c r="O42" s="68"/>
      <c r="P42" s="68"/>
    </row>
    <row r="43" spans="1:23" ht="33.75" customHeight="1" x14ac:dyDescent="0.3">
      <c r="A43" s="35"/>
      <c r="B43" s="35"/>
      <c r="C43" s="35"/>
      <c r="D43" s="35"/>
      <c r="E43" s="52"/>
      <c r="F43" s="52"/>
      <c r="G43" s="35"/>
      <c r="H43" s="35"/>
      <c r="I43" s="35"/>
      <c r="J43" s="35"/>
      <c r="K43" s="52"/>
      <c r="L43" s="73" t="s">
        <v>44</v>
      </c>
      <c r="M43" s="85">
        <f>+SUM(M10:M41)</f>
        <v>7</v>
      </c>
      <c r="N43" s="85">
        <f>+SUM(N10:N41)</f>
        <v>14</v>
      </c>
      <c r="O43" s="85">
        <f>+SUM(O10:O41)</f>
        <v>10</v>
      </c>
      <c r="P43" s="88">
        <f>+SUM(P10:P41)</f>
        <v>987174.5737699999</v>
      </c>
    </row>
    <row r="44" spans="1:23" ht="15" customHeight="1" x14ac:dyDescent="0.3">
      <c r="A44" s="35"/>
      <c r="B44" s="35"/>
      <c r="C44" s="35"/>
      <c r="D44" s="35"/>
      <c r="E44" s="35"/>
      <c r="F44" s="35"/>
      <c r="G44" s="35"/>
      <c r="H44" s="35"/>
      <c r="I44" s="35"/>
      <c r="J44" s="35"/>
      <c r="K44" s="35"/>
      <c r="L44" s="35"/>
      <c r="O44" s="35"/>
      <c r="P44" s="172" t="s">
        <v>92</v>
      </c>
    </row>
    <row r="45" spans="1:23" ht="48" customHeight="1" x14ac:dyDescent="0.3">
      <c r="A45" s="35"/>
      <c r="B45" s="35"/>
      <c r="C45" s="35"/>
      <c r="D45" s="35"/>
      <c r="E45" s="35"/>
      <c r="F45" s="35"/>
      <c r="G45" s="35"/>
      <c r="H45" s="35"/>
      <c r="I45" s="35"/>
      <c r="J45" s="35"/>
      <c r="K45" s="35"/>
      <c r="L45" s="35"/>
      <c r="N45" s="91"/>
      <c r="O45" s="92" t="s">
        <v>93</v>
      </c>
      <c r="P45" s="162">
        <f>+($L$22*$M$22)+($L$23*$M$23)+($L$24*$M$24)+($L$25*$M$25)+($L$26*$M$26)+($L$27*$M$27)+($L$28*$M$28)+($L$31*$M$31)+($L$32*$M$32)+($L$33*$M$33)+($L$34*$M$34)+($L$35*$M$35)+($L$36*$M$36)+($L$39*$M$39)+($L$40*$M$40)+($L$41*$M$41)+($L$10*$M$10)+($L$11*$M$11)+($L$17*$M$17)+($L$18*$M$18)+($L$19*$M$19)+($L$20*$M$20)</f>
        <v>253111.25069999998</v>
      </c>
      <c r="R45" s="226"/>
    </row>
    <row r="46" spans="1:23" ht="48.75" customHeight="1" x14ac:dyDescent="0.3">
      <c r="A46" s="35"/>
      <c r="B46" s="35"/>
      <c r="C46" s="35"/>
      <c r="D46" s="35"/>
      <c r="E46" s="35"/>
      <c r="F46" s="35"/>
      <c r="G46" s="35"/>
      <c r="I46" s="35"/>
      <c r="J46" s="35"/>
      <c r="K46" s="35"/>
      <c r="L46" s="35"/>
      <c r="N46" s="91"/>
      <c r="O46" s="92" t="s">
        <v>94</v>
      </c>
      <c r="P46" s="162">
        <f>+($L$22*$N$22)+($L$23*$N$23)+($L$24*$N$24)+($L$25*$N$25)+($L$26*$N$26)+($L$27*$N$27)+($L$28*$N$28)+($L$31*$N$31)+($L$32*$N$32)+($L$33*$N$33)+($L$34*$N$34)+($L$35*$N$35)+($L$37*$N$37)+($L$39*$N$39)+($L$40*$N$40)+($L$41*$N$41)+($L$10*$N$10)+($L$11*$N$11)+($L$17*$N$17)+($L$18*$N$18)+($L$19*$N$19)+($L$20*$N$20)+($L$21*$N$21)+($L$29*$N$29)+($L$36*$N$36)</f>
        <v>322240.27589600004</v>
      </c>
    </row>
    <row r="47" spans="1:23" ht="34.5" customHeight="1" x14ac:dyDescent="0.3">
      <c r="F47" s="55"/>
      <c r="G47" s="55"/>
      <c r="H47" s="55"/>
      <c r="I47" s="55"/>
      <c r="J47" s="55"/>
      <c r="K47" s="55"/>
      <c r="L47" s="55"/>
      <c r="N47" s="91"/>
      <c r="O47" s="92" t="s">
        <v>95</v>
      </c>
      <c r="P47" s="162">
        <f>+($L$21*$O$21)+($L$22*$O$22)+($L$23*$O$23)+($L$24*$O$24)+($L$25*$O$25)+($L$26*$O$26)+($L$27*$O$27)+($L$28*$O$28)+($L$29*$O$29)+($L$31*$O$31)+($L$32*$O$32)+($L$33*$O$33)+($L$34*$O$34)+($L$35*$O$35)+($L$36*$O$36)+($L$39*$O$39)+($L$40*$O$40)+($L$41*$O$41)+($L$10*$O$10)+($L$11*$O$11)+($L$20*$O$20)+($L$19*$O$19)+($L$18*$O$18)+($L$17*$O$17)+($L$37*$O$37)</f>
        <v>353549.07742000005</v>
      </c>
    </row>
    <row r="48" spans="1:23" ht="7.5" customHeight="1" x14ac:dyDescent="0.3">
      <c r="M48" s="91"/>
      <c r="N48" s="91"/>
      <c r="O48" s="91"/>
    </row>
    <row r="50" spans="1:19" x14ac:dyDescent="0.3">
      <c r="A50" s="91" t="s">
        <v>96</v>
      </c>
      <c r="P50" s="224"/>
      <c r="S50" s="225"/>
    </row>
    <row r="51" spans="1:19" x14ac:dyDescent="0.3">
      <c r="A51" s="91"/>
    </row>
    <row r="52" spans="1:19" x14ac:dyDescent="0.3">
      <c r="A52" s="91" t="s">
        <v>97</v>
      </c>
    </row>
    <row r="53" spans="1:19" x14ac:dyDescent="0.3">
      <c r="A53" s="91" t="s">
        <v>98</v>
      </c>
    </row>
    <row r="54" spans="1:19" x14ac:dyDescent="0.3">
      <c r="A54" s="91"/>
    </row>
    <row r="55" spans="1:19" x14ac:dyDescent="0.3">
      <c r="A55" s="91" t="s">
        <v>99</v>
      </c>
    </row>
    <row r="56" spans="1:19" x14ac:dyDescent="0.3">
      <c r="A56" s="91"/>
    </row>
    <row r="57" spans="1:19" x14ac:dyDescent="0.3">
      <c r="A57" s="91" t="s">
        <v>100</v>
      </c>
    </row>
    <row r="58" spans="1:19" x14ac:dyDescent="0.3">
      <c r="A58" s="91"/>
    </row>
    <row r="59" spans="1:19" x14ac:dyDescent="0.3">
      <c r="A59" s="91" t="s">
        <v>101</v>
      </c>
    </row>
    <row r="60" spans="1:19" x14ac:dyDescent="0.3">
      <c r="A60" s="91" t="s">
        <v>102</v>
      </c>
    </row>
  </sheetData>
  <sheetProtection selectLockedCells="1" selectUnlockedCells="1"/>
  <mergeCells count="41">
    <mergeCell ref="P13:P16"/>
    <mergeCell ref="I13:I16"/>
    <mergeCell ref="I6:I9"/>
    <mergeCell ref="A22:A29"/>
    <mergeCell ref="A31:A37"/>
    <mergeCell ref="E6:E9"/>
    <mergeCell ref="G6:G9"/>
    <mergeCell ref="H6:H9"/>
    <mergeCell ref="C6:C9"/>
    <mergeCell ref="H13:H16"/>
    <mergeCell ref="G13:G16"/>
    <mergeCell ref="A17:A21"/>
    <mergeCell ref="D13:D16"/>
    <mergeCell ref="E13:E16"/>
    <mergeCell ref="F13:F16"/>
    <mergeCell ref="F6:F9"/>
    <mergeCell ref="I1:L1"/>
    <mergeCell ref="A6:A11"/>
    <mergeCell ref="A5:P5"/>
    <mergeCell ref="J6:J9"/>
    <mergeCell ref="B6:B9"/>
    <mergeCell ref="K6:K9"/>
    <mergeCell ref="P6:P9"/>
    <mergeCell ref="I2:L3"/>
    <mergeCell ref="A1:B1"/>
    <mergeCell ref="A2:B2"/>
    <mergeCell ref="A39:A41"/>
    <mergeCell ref="O6:O9"/>
    <mergeCell ref="D6:D9"/>
    <mergeCell ref="L6:L9"/>
    <mergeCell ref="O13:O16"/>
    <mergeCell ref="J13:J16"/>
    <mergeCell ref="L13:L16"/>
    <mergeCell ref="M13:M16"/>
    <mergeCell ref="N13:N16"/>
    <mergeCell ref="M6:M9"/>
    <mergeCell ref="N6:N9"/>
    <mergeCell ref="K13:K16"/>
    <mergeCell ref="A13:A16"/>
    <mergeCell ref="B13:B16"/>
    <mergeCell ref="C13:C16"/>
  </mergeCells>
  <hyperlinks>
    <hyperlink ref="D3" r:id="rId1" xr:uid="{00000000-0004-0000-0500-000000000000}"/>
  </hyperlinks>
  <pageMargins left="0.45" right="0.47013888888888888" top="0.62013888888888891" bottom="0.47013888888888888" header="0.51180555555555551" footer="0.51180555555555551"/>
  <pageSetup paperSize="9" scale="73" firstPageNumber="0" orientation="landscape"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1"/>
  <sheetViews>
    <sheetView topLeftCell="E1" zoomScale="80" zoomScaleNormal="80" workbookViewId="0">
      <selection activeCell="B10" sqref="B10:L11"/>
    </sheetView>
  </sheetViews>
  <sheetFormatPr defaultColWidth="8.5546875" defaultRowHeight="15.6" x14ac:dyDescent="0.3"/>
  <cols>
    <col min="1" max="1" width="16.44140625" style="29" customWidth="1"/>
    <col min="2" max="2" width="24.5546875" style="29" customWidth="1"/>
    <col min="3" max="3" width="16.21875" style="29" customWidth="1"/>
    <col min="4" max="4" width="29.21875" style="29" customWidth="1"/>
    <col min="5" max="5" width="14.44140625" style="29" customWidth="1"/>
    <col min="6" max="6" width="14.21875" style="29" bestFit="1" customWidth="1"/>
    <col min="7" max="7" width="12.77734375" style="29" customWidth="1"/>
    <col min="8" max="8" width="14" style="29" customWidth="1"/>
    <col min="9" max="9" width="14.21875" style="29" customWidth="1"/>
    <col min="10" max="10" width="11.77734375" style="29" customWidth="1"/>
    <col min="11" max="11" width="12.77734375" style="29" customWidth="1"/>
    <col min="12" max="12" width="15.6640625" style="29" customWidth="1"/>
    <col min="13" max="13" width="19.21875" style="89" customWidth="1"/>
    <col min="14" max="14" width="20.44140625" style="89" customWidth="1"/>
    <col min="15" max="15" width="21.77734375" style="89" customWidth="1"/>
    <col min="16" max="16" width="25.77734375" style="89" customWidth="1"/>
    <col min="17" max="17" width="9.5546875" style="29" customWidth="1"/>
    <col min="18" max="18" width="27.5546875" style="29" customWidth="1"/>
    <col min="19" max="19" width="11.44140625" style="29" customWidth="1"/>
    <col min="20" max="21" width="12" style="29" customWidth="1"/>
    <col min="22" max="16384" width="8.5546875" style="29"/>
  </cols>
  <sheetData>
    <row r="1" spans="1:18" ht="49.8" x14ac:dyDescent="0.35">
      <c r="A1" s="298" t="s">
        <v>0</v>
      </c>
      <c r="B1" s="299"/>
      <c r="C1" s="180" t="s">
        <v>1</v>
      </c>
      <c r="D1" s="181"/>
      <c r="E1" s="36"/>
      <c r="F1" s="35"/>
      <c r="G1" s="35"/>
      <c r="H1" s="35"/>
      <c r="I1" s="259" t="s">
        <v>50</v>
      </c>
      <c r="J1" s="260"/>
      <c r="K1" s="260"/>
      <c r="L1" s="261"/>
      <c r="M1" s="74" t="s">
        <v>103</v>
      </c>
      <c r="N1" s="75" t="s">
        <v>104</v>
      </c>
      <c r="O1" s="76" t="s">
        <v>105</v>
      </c>
      <c r="P1" s="77" t="s">
        <v>106</v>
      </c>
    </row>
    <row r="2" spans="1:18" ht="20.25" customHeight="1" thickBot="1" x14ac:dyDescent="0.35">
      <c r="A2" s="300" t="s">
        <v>3</v>
      </c>
      <c r="B2" s="301"/>
      <c r="C2" s="176"/>
      <c r="D2" s="182"/>
      <c r="E2" s="36"/>
      <c r="F2" s="35"/>
      <c r="G2" s="35"/>
      <c r="H2" s="37"/>
      <c r="I2" s="289" t="s">
        <v>4</v>
      </c>
      <c r="J2" s="290"/>
      <c r="K2" s="290"/>
      <c r="L2" s="291"/>
      <c r="M2" s="194">
        <f>'Tab. 3.2  Cessati anno 2023'!$N$41</f>
        <v>253970.92667099999</v>
      </c>
      <c r="N2" s="194">
        <f>'Tab. 4.1 Assunzioni anno 2023'!N2-'Tab. 4.1 Assunzioni anno 2023'!P46</f>
        <v>431820.98410399997</v>
      </c>
      <c r="O2" s="194">
        <f>'Tab. 4.1 Assunzioni anno 2023'!O2-'Tab. 4.1 Assunzioni anno 2023'!P47</f>
        <v>389265.97258</v>
      </c>
      <c r="P2" s="78"/>
    </row>
    <row r="3" spans="1:18" ht="19.5" customHeight="1" thickBot="1" x14ac:dyDescent="0.35">
      <c r="A3" s="183" t="s">
        <v>5</v>
      </c>
      <c r="B3" s="184" t="s">
        <v>6</v>
      </c>
      <c r="C3" s="184" t="s">
        <v>7</v>
      </c>
      <c r="D3" s="189" t="s">
        <v>8</v>
      </c>
      <c r="E3" s="36"/>
      <c r="F3" s="35"/>
      <c r="G3" s="35"/>
      <c r="H3" s="35"/>
      <c r="I3" s="292"/>
      <c r="J3" s="293"/>
      <c r="K3" s="293"/>
      <c r="L3" s="294"/>
      <c r="M3" s="35"/>
      <c r="N3" s="35"/>
      <c r="O3" s="35"/>
      <c r="P3" s="35"/>
    </row>
    <row r="4" spans="1:18" ht="16.5" customHeight="1" x14ac:dyDescent="0.3">
      <c r="A4" s="38"/>
      <c r="B4" s="38"/>
      <c r="C4" s="38"/>
      <c r="D4" s="38"/>
      <c r="E4" s="38"/>
      <c r="F4" s="38"/>
      <c r="G4" s="38"/>
      <c r="H4" s="38"/>
      <c r="I4" s="38"/>
      <c r="J4" s="38"/>
      <c r="K4" s="38"/>
      <c r="L4" s="38"/>
      <c r="M4" s="79"/>
      <c r="N4" s="79"/>
      <c r="O4" s="79"/>
      <c r="P4" s="79"/>
    </row>
    <row r="5" spans="1:18" ht="19.5" customHeight="1" x14ac:dyDescent="0.3">
      <c r="A5" s="314" t="s">
        <v>107</v>
      </c>
      <c r="B5" s="315"/>
      <c r="C5" s="315"/>
      <c r="D5" s="315"/>
      <c r="E5" s="315"/>
      <c r="F5" s="315"/>
      <c r="G5" s="315"/>
      <c r="H5" s="315"/>
      <c r="I5" s="315"/>
      <c r="J5" s="315"/>
      <c r="K5" s="315"/>
      <c r="L5" s="315"/>
      <c r="M5" s="315"/>
      <c r="N5" s="315"/>
      <c r="O5" s="315"/>
      <c r="P5" s="315"/>
    </row>
    <row r="6" spans="1:18" ht="15" customHeight="1" x14ac:dyDescent="0.3">
      <c r="A6" s="268" t="s">
        <v>10</v>
      </c>
      <c r="B6" s="241" t="s">
        <v>82</v>
      </c>
      <c r="C6" s="241" t="s">
        <v>12</v>
      </c>
      <c r="D6" s="241" t="s">
        <v>13</v>
      </c>
      <c r="E6" s="241" t="s">
        <v>14</v>
      </c>
      <c r="F6" s="241" t="s">
        <v>15</v>
      </c>
      <c r="G6" s="241" t="s">
        <v>16</v>
      </c>
      <c r="H6" s="265" t="s">
        <v>17</v>
      </c>
      <c r="I6" s="241" t="s">
        <v>18</v>
      </c>
      <c r="J6" s="241" t="s">
        <v>19</v>
      </c>
      <c r="K6" s="241" t="s">
        <v>20</v>
      </c>
      <c r="L6" s="253" t="s">
        <v>21</v>
      </c>
      <c r="M6" s="241" t="s">
        <v>108</v>
      </c>
      <c r="N6" s="241" t="s">
        <v>84</v>
      </c>
      <c r="O6" s="316" t="s">
        <v>109</v>
      </c>
      <c r="P6" s="309" t="s">
        <v>86</v>
      </c>
    </row>
    <row r="7" spans="1:18" ht="15" customHeight="1" x14ac:dyDescent="0.3">
      <c r="A7" s="269"/>
      <c r="B7" s="242"/>
      <c r="C7" s="242"/>
      <c r="D7" s="242"/>
      <c r="E7" s="242"/>
      <c r="F7" s="242"/>
      <c r="G7" s="242"/>
      <c r="H7" s="266"/>
      <c r="I7" s="242"/>
      <c r="J7" s="242"/>
      <c r="K7" s="242"/>
      <c r="L7" s="254"/>
      <c r="M7" s="242"/>
      <c r="N7" s="242"/>
      <c r="O7" s="303"/>
      <c r="P7" s="307"/>
    </row>
    <row r="8" spans="1:18" ht="15" customHeight="1" x14ac:dyDescent="0.3">
      <c r="A8" s="269"/>
      <c r="B8" s="242"/>
      <c r="C8" s="242"/>
      <c r="D8" s="242"/>
      <c r="E8" s="242"/>
      <c r="F8" s="242"/>
      <c r="G8" s="242"/>
      <c r="H8" s="266"/>
      <c r="I8" s="242"/>
      <c r="J8" s="242"/>
      <c r="K8" s="242"/>
      <c r="L8" s="254"/>
      <c r="M8" s="242"/>
      <c r="N8" s="242"/>
      <c r="O8" s="303"/>
      <c r="P8" s="307"/>
    </row>
    <row r="9" spans="1:18" ht="15" customHeight="1" x14ac:dyDescent="0.3">
      <c r="A9" s="269"/>
      <c r="B9" s="243"/>
      <c r="C9" s="242"/>
      <c r="D9" s="243"/>
      <c r="E9" s="243"/>
      <c r="F9" s="243"/>
      <c r="G9" s="243"/>
      <c r="H9" s="267"/>
      <c r="I9" s="243"/>
      <c r="J9" s="243"/>
      <c r="K9" s="243"/>
      <c r="L9" s="255"/>
      <c r="M9" s="243"/>
      <c r="N9" s="243"/>
      <c r="O9" s="304"/>
      <c r="P9" s="308"/>
    </row>
    <row r="10" spans="1:18" ht="18" customHeight="1" x14ac:dyDescent="0.3">
      <c r="A10" s="269"/>
      <c r="B10" s="236" t="s">
        <v>147</v>
      </c>
      <c r="C10" s="229">
        <f>4623.3*12</f>
        <v>55479.600000000006</v>
      </c>
      <c r="D10" s="230"/>
      <c r="E10" s="231">
        <f>23.12*12</f>
        <v>277.44</v>
      </c>
      <c r="F10" s="231"/>
      <c r="G10" s="232">
        <f>(C10+E10)/12</f>
        <v>4646.420000000001</v>
      </c>
      <c r="H10" s="233">
        <f>SUM(C10:G10)</f>
        <v>60403.460000000006</v>
      </c>
      <c r="I10" s="232">
        <f>H10*23.46%</f>
        <v>14170.651716000002</v>
      </c>
      <c r="J10" s="232">
        <f>H10*7.41%</f>
        <v>4475.8963860000003</v>
      </c>
      <c r="K10" s="232">
        <f>H10*8.5%</f>
        <v>5134.294100000001</v>
      </c>
      <c r="L10" s="237">
        <f>SUM(H10:K10)</f>
        <v>84184.302202000021</v>
      </c>
      <c r="M10" s="11"/>
      <c r="N10" s="11"/>
      <c r="O10" s="80"/>
      <c r="P10" s="107">
        <f>+(M10+N10+O10)*L10</f>
        <v>0</v>
      </c>
    </row>
    <row r="11" spans="1:18" ht="18" customHeight="1" x14ac:dyDescent="0.3">
      <c r="A11" s="270"/>
      <c r="B11" s="236" t="s">
        <v>25</v>
      </c>
      <c r="C11" s="229">
        <f>3616.6*12</f>
        <v>43399.199999999997</v>
      </c>
      <c r="D11" s="234"/>
      <c r="E11" s="235">
        <f>18.08*12</f>
        <v>216.95999999999998</v>
      </c>
      <c r="F11" s="235"/>
      <c r="G11" s="232">
        <f>(C11+E11)/12</f>
        <v>3634.68</v>
      </c>
      <c r="H11" s="233">
        <f>SUM(C11:G11)</f>
        <v>47250.84</v>
      </c>
      <c r="I11" s="232">
        <f>H11*23.46%</f>
        <v>11085.047063999998</v>
      </c>
      <c r="J11" s="232">
        <f>H11*7.41%</f>
        <v>3501.2872439999996</v>
      </c>
      <c r="K11" s="232">
        <f>H11*8.5%</f>
        <v>4016.3213999999998</v>
      </c>
      <c r="L11" s="237">
        <f>SUM(H11:K11)</f>
        <v>65853.495707999988</v>
      </c>
      <c r="M11" s="14"/>
      <c r="N11" s="221">
        <v>1</v>
      </c>
      <c r="O11" s="214">
        <v>1</v>
      </c>
      <c r="P11" s="107">
        <f>+(M11+N11+O11)*L11</f>
        <v>131706.99141599998</v>
      </c>
      <c r="R11" s="30"/>
    </row>
    <row r="12" spans="1:18" ht="6.75" customHeight="1" x14ac:dyDescent="0.3">
      <c r="A12" s="40"/>
      <c r="B12" s="41"/>
      <c r="C12" s="42"/>
      <c r="D12" s="43"/>
      <c r="E12" s="43"/>
      <c r="F12" s="43"/>
      <c r="G12" s="43"/>
      <c r="H12" s="43"/>
      <c r="I12" s="43"/>
      <c r="J12" s="43"/>
      <c r="K12" s="43"/>
      <c r="L12" s="43"/>
      <c r="M12" s="44"/>
      <c r="N12" s="44"/>
      <c r="O12" s="44"/>
      <c r="P12" s="82"/>
      <c r="Q12" s="30"/>
      <c r="R12" s="30"/>
    </row>
    <row r="13" spans="1:18" ht="15" customHeight="1" x14ac:dyDescent="0.3">
      <c r="A13" s="268" t="s">
        <v>26</v>
      </c>
      <c r="B13" s="286" t="s">
        <v>87</v>
      </c>
      <c r="C13" s="241" t="s">
        <v>28</v>
      </c>
      <c r="D13" s="244"/>
      <c r="E13" s="241" t="s">
        <v>14</v>
      </c>
      <c r="F13" s="241" t="s">
        <v>15</v>
      </c>
      <c r="G13" s="241" t="s">
        <v>16</v>
      </c>
      <c r="H13" s="265" t="s">
        <v>17</v>
      </c>
      <c r="I13" s="241" t="s">
        <v>18</v>
      </c>
      <c r="J13" s="241" t="s">
        <v>19</v>
      </c>
      <c r="K13" s="241" t="s">
        <v>20</v>
      </c>
      <c r="L13" s="282" t="s">
        <v>21</v>
      </c>
      <c r="M13" s="241" t="s">
        <v>110</v>
      </c>
      <c r="N13" s="241" t="s">
        <v>84</v>
      </c>
      <c r="O13" s="241" t="s">
        <v>89</v>
      </c>
      <c r="P13" s="309" t="s">
        <v>86</v>
      </c>
      <c r="Q13" s="30"/>
      <c r="R13" s="30"/>
    </row>
    <row r="14" spans="1:18" ht="15" customHeight="1" x14ac:dyDescent="0.3">
      <c r="A14" s="269"/>
      <c r="B14" s="287"/>
      <c r="C14" s="242"/>
      <c r="D14" s="245"/>
      <c r="E14" s="242"/>
      <c r="F14" s="242"/>
      <c r="G14" s="242"/>
      <c r="H14" s="266"/>
      <c r="I14" s="242"/>
      <c r="J14" s="242"/>
      <c r="K14" s="242"/>
      <c r="L14" s="282"/>
      <c r="M14" s="242"/>
      <c r="N14" s="242"/>
      <c r="O14" s="242"/>
      <c r="P14" s="307"/>
      <c r="Q14" s="30"/>
      <c r="R14" s="30"/>
    </row>
    <row r="15" spans="1:18" ht="15" customHeight="1" x14ac:dyDescent="0.3">
      <c r="A15" s="269"/>
      <c r="B15" s="287"/>
      <c r="C15" s="242"/>
      <c r="D15" s="245"/>
      <c r="E15" s="242"/>
      <c r="F15" s="242"/>
      <c r="G15" s="242"/>
      <c r="H15" s="266"/>
      <c r="I15" s="242"/>
      <c r="J15" s="242"/>
      <c r="K15" s="242"/>
      <c r="L15" s="282"/>
      <c r="M15" s="242"/>
      <c r="N15" s="242"/>
      <c r="O15" s="242"/>
      <c r="P15" s="307"/>
    </row>
    <row r="16" spans="1:18" ht="67.5" customHeight="1" x14ac:dyDescent="0.3">
      <c r="A16" s="270"/>
      <c r="B16" s="288"/>
      <c r="C16" s="243"/>
      <c r="D16" s="246"/>
      <c r="E16" s="243"/>
      <c r="F16" s="243"/>
      <c r="G16" s="243"/>
      <c r="H16" s="267"/>
      <c r="I16" s="243"/>
      <c r="J16" s="243"/>
      <c r="K16" s="243"/>
      <c r="L16" s="282"/>
      <c r="M16" s="243"/>
      <c r="N16" s="243"/>
      <c r="O16" s="305"/>
      <c r="P16" s="308"/>
      <c r="R16" s="30"/>
    </row>
    <row r="17" spans="1:17" ht="15.6" customHeight="1" x14ac:dyDescent="0.3">
      <c r="A17" s="317" t="s">
        <v>31</v>
      </c>
      <c r="B17" s="23" t="s">
        <v>32</v>
      </c>
      <c r="C17" s="26">
        <v>44674.87</v>
      </c>
      <c r="D17" s="58"/>
      <c r="E17" s="25">
        <f>+ROUND(C17/12*0.005,2)*12</f>
        <v>223.32</v>
      </c>
      <c r="F17" s="109"/>
      <c r="G17" s="110">
        <f>+ROUND((C17+E17+F17)/12,2)</f>
        <v>3741.52</v>
      </c>
      <c r="H17" s="111">
        <f t="shared" ref="H17:H27" si="0">+G17+E17+C17</f>
        <v>48639.710000000006</v>
      </c>
      <c r="I17" s="26">
        <f>H17*23.46%</f>
        <v>11410.875966000001</v>
      </c>
      <c r="J17" s="26">
        <f>H17*7.41%</f>
        <v>3604.2025110000004</v>
      </c>
      <c r="K17" s="113">
        <f>H17*8.5%</f>
        <v>4134.3753500000012</v>
      </c>
      <c r="L17" s="45">
        <f>+H17+I17+J17+K17</f>
        <v>67789.163827000011</v>
      </c>
      <c r="M17" s="50"/>
      <c r="N17" s="83"/>
      <c r="O17" s="49"/>
      <c r="P17" s="107">
        <f>+(M17+N17+O17)*L17</f>
        <v>0</v>
      </c>
    </row>
    <row r="18" spans="1:17" x14ac:dyDescent="0.3">
      <c r="A18" s="318"/>
      <c r="B18" s="23" t="s">
        <v>33</v>
      </c>
      <c r="C18" s="26">
        <v>40560.15</v>
      </c>
      <c r="D18" s="58"/>
      <c r="E18" s="25">
        <f>+ROUND(C18/12*0.005,2)*12</f>
        <v>202.79999999999998</v>
      </c>
      <c r="F18" s="109"/>
      <c r="G18" s="110">
        <f>+ROUND((C18+E18+F18)/12,2)</f>
        <v>3396.91</v>
      </c>
      <c r="H18" s="111">
        <f t="shared" si="0"/>
        <v>44159.86</v>
      </c>
      <c r="I18" s="26">
        <f t="shared" ref="I18:I40" si="1">H18*23.46%</f>
        <v>10359.903156</v>
      </c>
      <c r="J18" s="26">
        <f t="shared" ref="J18:J40" si="2">H18*7.41%</f>
        <v>3272.2456259999999</v>
      </c>
      <c r="K18" s="113">
        <f>H18*8.5%</f>
        <v>3753.5881000000004</v>
      </c>
      <c r="L18" s="45">
        <f>+H18+I18+J18+K18</f>
        <v>61545.596882000005</v>
      </c>
      <c r="M18" s="50"/>
      <c r="N18" s="83"/>
      <c r="O18" s="49"/>
      <c r="P18" s="107">
        <f>+(M18+N18+O18)*L18</f>
        <v>0</v>
      </c>
    </row>
    <row r="19" spans="1:17" x14ac:dyDescent="0.3">
      <c r="A19" s="318"/>
      <c r="B19" s="23" t="s">
        <v>34</v>
      </c>
      <c r="C19" s="26">
        <v>34480.639999999999</v>
      </c>
      <c r="D19" s="58"/>
      <c r="E19" s="25">
        <f>+ROUND(C19/12*0.005,2)*12</f>
        <v>172.44</v>
      </c>
      <c r="F19" s="109"/>
      <c r="G19" s="110">
        <f>+ROUND((C19+E19+F19)/12,2)</f>
        <v>2887.76</v>
      </c>
      <c r="H19" s="111">
        <f t="shared" si="0"/>
        <v>37540.839999999997</v>
      </c>
      <c r="I19" s="26">
        <f t="shared" si="1"/>
        <v>8807.081064</v>
      </c>
      <c r="J19" s="26">
        <f t="shared" si="2"/>
        <v>2781.7762439999997</v>
      </c>
      <c r="K19" s="113">
        <f>H19*8.5%</f>
        <v>3190.9713999999999</v>
      </c>
      <c r="L19" s="45">
        <f>+H19+I19+J19+K19</f>
        <v>52320.668707999997</v>
      </c>
      <c r="M19" s="50"/>
      <c r="N19" s="83"/>
      <c r="O19" s="49"/>
      <c r="P19" s="107">
        <f>+(M19+N19+O19)*L19</f>
        <v>0</v>
      </c>
    </row>
    <row r="20" spans="1:17" x14ac:dyDescent="0.3">
      <c r="A20" s="318"/>
      <c r="B20" s="23" t="s">
        <v>35</v>
      </c>
      <c r="C20" s="26">
        <v>32491.32</v>
      </c>
      <c r="D20" s="58"/>
      <c r="E20" s="25">
        <f>+ROUND(C20/12*0.005,2)*12</f>
        <v>162.47999999999999</v>
      </c>
      <c r="F20" s="109"/>
      <c r="G20" s="110">
        <f>+ROUND((C20+E20+F20)/12,2)</f>
        <v>2721.15</v>
      </c>
      <c r="H20" s="111">
        <f t="shared" si="0"/>
        <v>35374.949999999997</v>
      </c>
      <c r="I20" s="26">
        <f t="shared" si="1"/>
        <v>8298.9632700000002</v>
      </c>
      <c r="J20" s="26">
        <f t="shared" si="2"/>
        <v>2621.2837949999998</v>
      </c>
      <c r="K20" s="113">
        <f>H20*8.5%</f>
        <v>3006.87075</v>
      </c>
      <c r="L20" s="45">
        <f>+H20+I20+J20+K20</f>
        <v>49302.067815000002</v>
      </c>
      <c r="M20" s="50">
        <v>3</v>
      </c>
      <c r="N20" s="203"/>
      <c r="O20" s="49"/>
      <c r="P20" s="107">
        <f>+(M20+N20+O20)*L20</f>
        <v>147906.20344499999</v>
      </c>
    </row>
    <row r="21" spans="1:17" ht="15.6" customHeight="1" x14ac:dyDescent="0.3">
      <c r="A21" s="319"/>
      <c r="B21" s="23" t="s">
        <v>90</v>
      </c>
      <c r="C21" s="26"/>
      <c r="D21" s="58"/>
      <c r="E21" s="25"/>
      <c r="F21" s="109"/>
      <c r="G21" s="110"/>
      <c r="H21" s="111"/>
      <c r="I21" s="26">
        <f t="shared" si="1"/>
        <v>0</v>
      </c>
      <c r="J21" s="26">
        <f t="shared" si="2"/>
        <v>0</v>
      </c>
      <c r="K21" s="113">
        <f t="shared" ref="K21" si="3">H21*8.5%</f>
        <v>0</v>
      </c>
      <c r="L21" s="45">
        <v>13947.160072999999</v>
      </c>
      <c r="M21" s="50"/>
      <c r="N21" s="203">
        <v>3</v>
      </c>
      <c r="O21" s="49"/>
      <c r="P21" s="107">
        <f>L21*N21</f>
        <v>41841.480218999997</v>
      </c>
    </row>
    <row r="22" spans="1:17" x14ac:dyDescent="0.3">
      <c r="A22" s="310" t="s">
        <v>36</v>
      </c>
      <c r="B22" s="23" t="s">
        <v>35</v>
      </c>
      <c r="C22" s="24">
        <v>31641</v>
      </c>
      <c r="D22" s="58"/>
      <c r="E22" s="25">
        <f t="shared" ref="E22:E40" si="4">+ROUND(C22/12*0.005,2)*12</f>
        <v>158.16</v>
      </c>
      <c r="F22" s="109"/>
      <c r="G22" s="110">
        <f t="shared" ref="G22:G40" si="5">+ROUND((C22+E22+F22)/12,2)</f>
        <v>2649.93</v>
      </c>
      <c r="H22" s="111">
        <f t="shared" si="0"/>
        <v>34449.089999999997</v>
      </c>
      <c r="I22" s="26">
        <f t="shared" si="1"/>
        <v>8081.7565139999997</v>
      </c>
      <c r="J22" s="26">
        <f t="shared" si="2"/>
        <v>2552.6775689999995</v>
      </c>
      <c r="K22" s="113">
        <f t="shared" ref="K22:K27" si="6">H22*8.5%</f>
        <v>2928.17265</v>
      </c>
      <c r="L22" s="45">
        <f t="shared" ref="L22:L40" si="7">+H22+I22+J22+K22</f>
        <v>48011.696732999997</v>
      </c>
      <c r="M22" s="50"/>
      <c r="N22" s="84"/>
      <c r="O22" s="49"/>
      <c r="P22" s="107">
        <f t="shared" ref="P22:P27" si="8">+(M22+N22+O22)*L22</f>
        <v>0</v>
      </c>
    </row>
    <row r="23" spans="1:17" x14ac:dyDescent="0.3">
      <c r="A23" s="311"/>
      <c r="B23" s="23" t="s">
        <v>37</v>
      </c>
      <c r="C23" s="24">
        <v>29655.67</v>
      </c>
      <c r="D23" s="58"/>
      <c r="E23" s="25">
        <f t="shared" si="4"/>
        <v>148.32</v>
      </c>
      <c r="F23" s="109"/>
      <c r="G23" s="110">
        <f t="shared" si="5"/>
        <v>2483.67</v>
      </c>
      <c r="H23" s="111">
        <f t="shared" si="0"/>
        <v>32287.66</v>
      </c>
      <c r="I23" s="26">
        <f t="shared" si="1"/>
        <v>7574.6850359999999</v>
      </c>
      <c r="J23" s="26">
        <f t="shared" si="2"/>
        <v>2392.5156059999999</v>
      </c>
      <c r="K23" s="113">
        <f t="shared" si="6"/>
        <v>2744.4511000000002</v>
      </c>
      <c r="L23" s="45">
        <f t="shared" si="7"/>
        <v>44999.311741999998</v>
      </c>
      <c r="M23" s="50"/>
      <c r="N23" s="84"/>
      <c r="O23" s="49"/>
      <c r="P23" s="107">
        <f t="shared" si="8"/>
        <v>0</v>
      </c>
    </row>
    <row r="24" spans="1:17" x14ac:dyDescent="0.3">
      <c r="A24" s="311"/>
      <c r="B24" s="23" t="s">
        <v>38</v>
      </c>
      <c r="C24" s="24">
        <v>27858.84</v>
      </c>
      <c r="D24" s="59"/>
      <c r="E24" s="25">
        <f t="shared" si="4"/>
        <v>139.32</v>
      </c>
      <c r="F24" s="114"/>
      <c r="G24" s="110">
        <f t="shared" si="5"/>
        <v>2333.1799999999998</v>
      </c>
      <c r="H24" s="111">
        <f t="shared" si="0"/>
        <v>30331.34</v>
      </c>
      <c r="I24" s="26">
        <f t="shared" si="1"/>
        <v>7115.7323640000004</v>
      </c>
      <c r="J24" s="26">
        <f t="shared" si="2"/>
        <v>2247.5522940000001</v>
      </c>
      <c r="K24" s="113">
        <f t="shared" si="6"/>
        <v>2578.1639</v>
      </c>
      <c r="L24" s="45">
        <f t="shared" si="7"/>
        <v>42272.788558</v>
      </c>
      <c r="M24" s="50"/>
      <c r="N24" s="84"/>
      <c r="O24" s="49"/>
      <c r="P24" s="107">
        <f t="shared" si="8"/>
        <v>0</v>
      </c>
    </row>
    <row r="25" spans="1:17" x14ac:dyDescent="0.3">
      <c r="A25" s="311"/>
      <c r="B25" s="23" t="s">
        <v>39</v>
      </c>
      <c r="C25" s="24">
        <v>25373.64</v>
      </c>
      <c r="D25" s="59"/>
      <c r="E25" s="25">
        <f t="shared" si="4"/>
        <v>126.84</v>
      </c>
      <c r="F25" s="114"/>
      <c r="G25" s="110">
        <f t="shared" si="5"/>
        <v>2125.04</v>
      </c>
      <c r="H25" s="111">
        <f t="shared" si="0"/>
        <v>27625.52</v>
      </c>
      <c r="I25" s="26">
        <f t="shared" si="1"/>
        <v>6480.9469920000001</v>
      </c>
      <c r="J25" s="26">
        <f t="shared" si="2"/>
        <v>2047.0510320000001</v>
      </c>
      <c r="K25" s="113">
        <f t="shared" si="6"/>
        <v>2348.1692000000003</v>
      </c>
      <c r="L25" s="45">
        <f t="shared" si="7"/>
        <v>38501.687224000008</v>
      </c>
      <c r="M25" s="50"/>
      <c r="N25" s="84"/>
      <c r="O25" s="49"/>
      <c r="P25" s="107">
        <f t="shared" si="8"/>
        <v>0</v>
      </c>
    </row>
    <row r="26" spans="1:17" x14ac:dyDescent="0.3">
      <c r="A26" s="311"/>
      <c r="B26" s="23" t="s">
        <v>40</v>
      </c>
      <c r="C26" s="24">
        <v>24104.21</v>
      </c>
      <c r="D26" s="59"/>
      <c r="E26" s="25">
        <f t="shared" si="4"/>
        <v>120.47999999999999</v>
      </c>
      <c r="F26" s="114"/>
      <c r="G26" s="110">
        <f t="shared" si="5"/>
        <v>2018.72</v>
      </c>
      <c r="H26" s="111">
        <f t="shared" si="0"/>
        <v>26243.41</v>
      </c>
      <c r="I26" s="26">
        <f t="shared" si="1"/>
        <v>6156.7039860000004</v>
      </c>
      <c r="J26" s="26">
        <f t="shared" si="2"/>
        <v>1944.636681</v>
      </c>
      <c r="K26" s="113">
        <f t="shared" si="6"/>
        <v>2230.6898500000002</v>
      </c>
      <c r="L26" s="45">
        <f t="shared" si="7"/>
        <v>36575.440517000003</v>
      </c>
      <c r="M26" s="50"/>
      <c r="N26" s="84"/>
      <c r="O26" s="49"/>
      <c r="P26" s="107">
        <f t="shared" si="8"/>
        <v>0</v>
      </c>
    </row>
    <row r="27" spans="1:17" x14ac:dyDescent="0.3">
      <c r="A27" s="311"/>
      <c r="B27" s="23" t="s">
        <v>41</v>
      </c>
      <c r="C27" s="24">
        <v>23299.78</v>
      </c>
      <c r="D27" s="59"/>
      <c r="E27" s="25">
        <f t="shared" si="4"/>
        <v>116.52000000000001</v>
      </c>
      <c r="F27" s="114"/>
      <c r="G27" s="110">
        <f t="shared" si="5"/>
        <v>1951.36</v>
      </c>
      <c r="H27" s="111">
        <f t="shared" si="0"/>
        <v>25367.66</v>
      </c>
      <c r="I27" s="26">
        <f t="shared" si="1"/>
        <v>5951.2530360000001</v>
      </c>
      <c r="J27" s="26">
        <f t="shared" si="2"/>
        <v>1879.743606</v>
      </c>
      <c r="K27" s="113">
        <f t="shared" si="6"/>
        <v>2156.2511</v>
      </c>
      <c r="L27" s="45">
        <f t="shared" si="7"/>
        <v>35354.907742000003</v>
      </c>
      <c r="M27" s="72">
        <v>3</v>
      </c>
      <c r="N27" s="208">
        <v>6</v>
      </c>
      <c r="O27" s="227">
        <v>4</v>
      </c>
      <c r="P27" s="107">
        <f t="shared" si="8"/>
        <v>459613.80064600002</v>
      </c>
      <c r="Q27" s="161"/>
    </row>
    <row r="28" spans="1:17" x14ac:dyDescent="0.3">
      <c r="A28" s="312"/>
      <c r="B28" s="215" t="s">
        <v>91</v>
      </c>
      <c r="C28" s="216"/>
      <c r="D28" s="59"/>
      <c r="E28" s="25"/>
      <c r="F28" s="114"/>
      <c r="G28" s="110"/>
      <c r="H28" s="111"/>
      <c r="I28" s="26">
        <v>0</v>
      </c>
      <c r="J28" s="26">
        <v>0</v>
      </c>
      <c r="K28" s="113"/>
      <c r="L28" s="136">
        <v>6217.9228650000041</v>
      </c>
      <c r="M28" s="53"/>
      <c r="N28" s="213"/>
      <c r="O28" s="53"/>
      <c r="P28" s="108"/>
    </row>
    <row r="29" spans="1:17" x14ac:dyDescent="0.3">
      <c r="A29" s="121"/>
      <c r="B29" s="69"/>
      <c r="C29" s="61"/>
      <c r="D29" s="60"/>
      <c r="E29" s="63"/>
      <c r="F29" s="115"/>
      <c r="G29" s="116"/>
      <c r="H29" s="117"/>
      <c r="I29" s="26">
        <f t="shared" si="1"/>
        <v>0</v>
      </c>
      <c r="J29" s="26">
        <f t="shared" si="2"/>
        <v>0</v>
      </c>
      <c r="K29" s="118"/>
      <c r="L29" s="126"/>
      <c r="M29" s="64"/>
      <c r="N29" s="64"/>
      <c r="O29" s="64"/>
      <c r="P29" s="65"/>
    </row>
    <row r="30" spans="1:17" ht="17.100000000000001" customHeight="1" x14ac:dyDescent="0.3">
      <c r="A30" s="313" t="s">
        <v>42</v>
      </c>
      <c r="B30" s="31" t="s">
        <v>35</v>
      </c>
      <c r="C30" s="24">
        <v>24043.33</v>
      </c>
      <c r="D30" s="59"/>
      <c r="E30" s="25">
        <f t="shared" si="4"/>
        <v>120.24</v>
      </c>
      <c r="F30" s="114"/>
      <c r="G30" s="110">
        <f t="shared" si="5"/>
        <v>2013.63</v>
      </c>
      <c r="H30" s="111">
        <f t="shared" ref="H30:H35" si="9">+G30+E30+C30</f>
        <v>26177.200000000001</v>
      </c>
      <c r="I30" s="26">
        <f t="shared" si="1"/>
        <v>6141.17112</v>
      </c>
      <c r="J30" s="26">
        <f t="shared" si="2"/>
        <v>1939.7305200000001</v>
      </c>
      <c r="K30" s="113">
        <f t="shared" ref="K30:K35" si="10">H30*8.5%</f>
        <v>2225.0620000000004</v>
      </c>
      <c r="L30" s="45">
        <f t="shared" si="7"/>
        <v>36483.163639999999</v>
      </c>
      <c r="M30" s="50"/>
      <c r="N30" s="84"/>
      <c r="O30" s="49"/>
      <c r="P30" s="108">
        <f t="shared" ref="P30:P34" si="11">+(M30+N30+O30)*L30</f>
        <v>0</v>
      </c>
    </row>
    <row r="31" spans="1:17" x14ac:dyDescent="0.3">
      <c r="A31" s="311"/>
      <c r="B31" s="31" t="s">
        <v>37</v>
      </c>
      <c r="C31" s="24">
        <v>23386.86</v>
      </c>
      <c r="D31" s="59"/>
      <c r="E31" s="25">
        <f t="shared" si="4"/>
        <v>116.88</v>
      </c>
      <c r="F31" s="114"/>
      <c r="G31" s="110">
        <f t="shared" si="5"/>
        <v>1958.65</v>
      </c>
      <c r="H31" s="111">
        <f t="shared" si="9"/>
        <v>25462.39</v>
      </c>
      <c r="I31" s="26">
        <f t="shared" si="1"/>
        <v>5973.476694</v>
      </c>
      <c r="J31" s="26">
        <f t="shared" si="2"/>
        <v>1886.763099</v>
      </c>
      <c r="K31" s="113">
        <f t="shared" si="10"/>
        <v>2164.3031500000002</v>
      </c>
      <c r="L31" s="45">
        <f t="shared" si="7"/>
        <v>35486.932943</v>
      </c>
      <c r="M31" s="50"/>
      <c r="N31" s="84"/>
      <c r="O31" s="49"/>
      <c r="P31" s="107">
        <f t="shared" si="11"/>
        <v>0</v>
      </c>
    </row>
    <row r="32" spans="1:17" x14ac:dyDescent="0.3">
      <c r="A32" s="311"/>
      <c r="B32" s="31" t="s">
        <v>38</v>
      </c>
      <c r="C32" s="24">
        <v>22793.040000000001</v>
      </c>
      <c r="D32" s="59"/>
      <c r="E32" s="25">
        <f t="shared" si="4"/>
        <v>114</v>
      </c>
      <c r="F32" s="114"/>
      <c r="G32" s="110">
        <f t="shared" si="5"/>
        <v>1908.92</v>
      </c>
      <c r="H32" s="111">
        <f t="shared" si="9"/>
        <v>24815.96</v>
      </c>
      <c r="I32" s="26">
        <f t="shared" si="1"/>
        <v>5821.824216</v>
      </c>
      <c r="J32" s="26">
        <f t="shared" si="2"/>
        <v>1838.8626359999998</v>
      </c>
      <c r="K32" s="113">
        <f t="shared" si="10"/>
        <v>2109.3566000000001</v>
      </c>
      <c r="L32" s="45">
        <f t="shared" si="7"/>
        <v>34586.003451999997</v>
      </c>
      <c r="M32" s="50"/>
      <c r="N32" s="84"/>
      <c r="O32" s="49"/>
      <c r="P32" s="107">
        <f t="shared" si="11"/>
        <v>0</v>
      </c>
    </row>
    <row r="33" spans="1:18" x14ac:dyDescent="0.3">
      <c r="A33" s="311"/>
      <c r="B33" s="31" t="s">
        <v>39</v>
      </c>
      <c r="C33" s="24">
        <v>21449.360000000001</v>
      </c>
      <c r="D33" s="59"/>
      <c r="E33" s="25">
        <f t="shared" si="4"/>
        <v>107.28</v>
      </c>
      <c r="F33" s="114"/>
      <c r="G33" s="110">
        <f t="shared" si="5"/>
        <v>1796.39</v>
      </c>
      <c r="H33" s="111">
        <f t="shared" si="9"/>
        <v>23353.03</v>
      </c>
      <c r="I33" s="26">
        <f t="shared" si="1"/>
        <v>5478.6208379999998</v>
      </c>
      <c r="J33" s="26">
        <f t="shared" si="2"/>
        <v>1730.459523</v>
      </c>
      <c r="K33" s="113">
        <f t="shared" si="10"/>
        <v>1985.00755</v>
      </c>
      <c r="L33" s="45">
        <f t="shared" si="7"/>
        <v>32547.117910999998</v>
      </c>
      <c r="M33" s="50"/>
      <c r="N33" s="84"/>
      <c r="O33" s="49"/>
      <c r="P33" s="107">
        <f t="shared" si="11"/>
        <v>0</v>
      </c>
    </row>
    <row r="34" spans="1:18" ht="15" customHeight="1" x14ac:dyDescent="0.3">
      <c r="A34" s="311"/>
      <c r="B34" s="31" t="s">
        <v>40</v>
      </c>
      <c r="C34" s="24">
        <v>20167.03</v>
      </c>
      <c r="D34" s="59"/>
      <c r="E34" s="25">
        <f t="shared" si="4"/>
        <v>100.80000000000001</v>
      </c>
      <c r="F34" s="114"/>
      <c r="G34" s="110">
        <f t="shared" si="5"/>
        <v>1688.99</v>
      </c>
      <c r="H34" s="111">
        <f t="shared" si="9"/>
        <v>21956.82</v>
      </c>
      <c r="I34" s="26">
        <f t="shared" si="1"/>
        <v>5151.0699720000002</v>
      </c>
      <c r="J34" s="26">
        <f t="shared" si="2"/>
        <v>1627.000362</v>
      </c>
      <c r="K34" s="113">
        <f t="shared" si="10"/>
        <v>1866.3297</v>
      </c>
      <c r="L34" s="45">
        <f t="shared" si="7"/>
        <v>30601.220033999998</v>
      </c>
      <c r="M34" s="50"/>
      <c r="N34" s="84"/>
      <c r="O34" s="49"/>
      <c r="P34" s="107">
        <f t="shared" si="11"/>
        <v>0</v>
      </c>
      <c r="R34" s="32"/>
    </row>
    <row r="35" spans="1:18" ht="24" customHeight="1" x14ac:dyDescent="0.3">
      <c r="A35" s="311"/>
      <c r="B35" s="31" t="s">
        <v>41</v>
      </c>
      <c r="C35" s="24">
        <v>19202.04</v>
      </c>
      <c r="D35" s="59"/>
      <c r="E35" s="25">
        <f t="shared" si="4"/>
        <v>96</v>
      </c>
      <c r="F35" s="114"/>
      <c r="G35" s="110">
        <f t="shared" si="5"/>
        <v>1608.17</v>
      </c>
      <c r="H35" s="111">
        <f t="shared" si="9"/>
        <v>20906.21</v>
      </c>
      <c r="I35" s="26">
        <f t="shared" si="1"/>
        <v>4904.5968659999999</v>
      </c>
      <c r="J35" s="26">
        <f t="shared" si="2"/>
        <v>1549.150161</v>
      </c>
      <c r="K35" s="113">
        <f t="shared" si="10"/>
        <v>1777.0278499999999</v>
      </c>
      <c r="L35" s="45">
        <f t="shared" si="7"/>
        <v>29136.984876999999</v>
      </c>
      <c r="M35" s="50" t="s">
        <v>111</v>
      </c>
      <c r="N35" s="220"/>
      <c r="O35" s="49"/>
      <c r="P35" s="107"/>
    </row>
    <row r="36" spans="1:18" ht="15" customHeight="1" x14ac:dyDescent="0.3">
      <c r="A36" s="312"/>
      <c r="B36" s="211" t="s">
        <v>91</v>
      </c>
      <c r="C36" s="24"/>
      <c r="D36" s="59"/>
      <c r="E36" s="25"/>
      <c r="F36" s="114"/>
      <c r="G36" s="110"/>
      <c r="H36" s="111"/>
      <c r="I36" s="26">
        <v>0</v>
      </c>
      <c r="J36" s="26">
        <v>0</v>
      </c>
      <c r="K36" s="113"/>
      <c r="L36" s="45">
        <v>1454.3259499999986</v>
      </c>
      <c r="M36" s="53"/>
      <c r="N36" s="213">
        <v>1</v>
      </c>
      <c r="O36" s="46"/>
      <c r="P36" s="108">
        <v>1454</v>
      </c>
      <c r="R36" s="222"/>
    </row>
    <row r="37" spans="1:18" ht="15" customHeight="1" x14ac:dyDescent="0.3">
      <c r="A37" s="121"/>
      <c r="B37" s="120"/>
      <c r="C37" s="62"/>
      <c r="D37" s="61"/>
      <c r="E37" s="60"/>
      <c r="F37" s="115"/>
      <c r="G37" s="119"/>
      <c r="H37" s="117"/>
      <c r="I37" s="26">
        <f t="shared" si="1"/>
        <v>0</v>
      </c>
      <c r="J37" s="26">
        <f t="shared" si="2"/>
        <v>0</v>
      </c>
      <c r="K37" s="64"/>
      <c r="L37" s="65"/>
      <c r="M37" s="64"/>
      <c r="N37" s="64"/>
      <c r="O37" s="128"/>
      <c r="P37" s="65"/>
      <c r="R37" s="32"/>
    </row>
    <row r="38" spans="1:18" ht="15" customHeight="1" x14ac:dyDescent="0.3">
      <c r="A38" s="269" t="s">
        <v>43</v>
      </c>
      <c r="B38" s="31" t="s">
        <v>39</v>
      </c>
      <c r="C38" s="24">
        <v>19550.650000000001</v>
      </c>
      <c r="D38" s="59"/>
      <c r="E38" s="25">
        <f t="shared" si="4"/>
        <v>97.800000000000011</v>
      </c>
      <c r="F38" s="114"/>
      <c r="G38" s="110">
        <f t="shared" si="5"/>
        <v>1637.37</v>
      </c>
      <c r="H38" s="111">
        <f>+G38+E38+C38</f>
        <v>21285.82</v>
      </c>
      <c r="I38" s="26">
        <f t="shared" si="1"/>
        <v>4993.6533719999998</v>
      </c>
      <c r="J38" s="26">
        <f t="shared" si="2"/>
        <v>1577.279262</v>
      </c>
      <c r="K38" s="113">
        <f>H38*8.5%</f>
        <v>1809.2947000000001</v>
      </c>
      <c r="L38" s="45">
        <f t="shared" si="7"/>
        <v>29666.047333999999</v>
      </c>
      <c r="M38" s="50"/>
      <c r="N38" s="84"/>
      <c r="O38" s="49"/>
      <c r="P38" s="108">
        <f>+(M38+N38+O38)*L38</f>
        <v>0</v>
      </c>
      <c r="R38" s="32"/>
    </row>
    <row r="39" spans="1:18" x14ac:dyDescent="0.3">
      <c r="A39" s="269"/>
      <c r="B39" s="31" t="s">
        <v>40</v>
      </c>
      <c r="C39" s="24">
        <v>18864.71</v>
      </c>
      <c r="D39" s="59"/>
      <c r="E39" s="25">
        <f t="shared" si="4"/>
        <v>94.320000000000007</v>
      </c>
      <c r="F39" s="114"/>
      <c r="G39" s="110">
        <f t="shared" si="5"/>
        <v>1579.92</v>
      </c>
      <c r="H39" s="111">
        <f>+G39+E39+C39</f>
        <v>20538.95</v>
      </c>
      <c r="I39" s="26">
        <f t="shared" si="1"/>
        <v>4818.4376700000003</v>
      </c>
      <c r="J39" s="26">
        <f t="shared" si="2"/>
        <v>1521.936195</v>
      </c>
      <c r="K39" s="113">
        <f>H39*8.5%</f>
        <v>1745.8107500000001</v>
      </c>
      <c r="L39" s="45">
        <f t="shared" si="7"/>
        <v>28625.134614999999</v>
      </c>
      <c r="M39" s="50"/>
      <c r="N39" s="84"/>
      <c r="O39" s="49"/>
      <c r="P39" s="107">
        <f>+(M39+N39+O39)*L39</f>
        <v>0</v>
      </c>
    </row>
    <row r="40" spans="1:18" ht="23.1" customHeight="1" x14ac:dyDescent="0.3">
      <c r="A40" s="269"/>
      <c r="B40" s="31" t="s">
        <v>41</v>
      </c>
      <c r="C40" s="24">
        <v>18243.61</v>
      </c>
      <c r="D40" s="59"/>
      <c r="E40" s="25">
        <f t="shared" si="4"/>
        <v>91.199999999999989</v>
      </c>
      <c r="F40" s="114"/>
      <c r="G40" s="110">
        <f t="shared" si="5"/>
        <v>1527.9</v>
      </c>
      <c r="H40" s="111">
        <f>+G40+E40+C40</f>
        <v>19862.71</v>
      </c>
      <c r="I40" s="26">
        <f t="shared" si="1"/>
        <v>4659.7917660000003</v>
      </c>
      <c r="J40" s="26">
        <f t="shared" si="2"/>
        <v>1471.8268109999999</v>
      </c>
      <c r="K40" s="113">
        <f>H40*8.5%</f>
        <v>1688.33035</v>
      </c>
      <c r="L40" s="45">
        <f t="shared" si="7"/>
        <v>27682.658927</v>
      </c>
      <c r="M40" s="50"/>
      <c r="N40" s="84"/>
      <c r="O40" s="49"/>
      <c r="P40" s="107">
        <f>+(M40+N40+O40)*L40</f>
        <v>0</v>
      </c>
    </row>
    <row r="41" spans="1:18" x14ac:dyDescent="0.3">
      <c r="A41" s="70"/>
      <c r="B41" s="69"/>
      <c r="C41" s="61"/>
      <c r="D41" s="60"/>
      <c r="E41" s="63"/>
      <c r="F41" s="63"/>
      <c r="G41" s="61"/>
      <c r="H41" s="64"/>
      <c r="I41" s="64"/>
      <c r="J41" s="64"/>
      <c r="K41" s="64"/>
      <c r="L41" s="64"/>
      <c r="M41" s="68"/>
      <c r="N41" s="68"/>
      <c r="O41" s="68"/>
      <c r="P41" s="68"/>
    </row>
    <row r="42" spans="1:18" ht="33.75" customHeight="1" x14ac:dyDescent="0.3">
      <c r="A42" s="35"/>
      <c r="B42" s="35"/>
      <c r="C42" s="35"/>
      <c r="D42" s="35"/>
      <c r="E42" s="52"/>
      <c r="F42" s="52"/>
      <c r="G42" s="35"/>
      <c r="H42" s="35"/>
      <c r="I42" s="35"/>
      <c r="J42" s="35"/>
      <c r="K42" s="52"/>
      <c r="L42" s="73" t="s">
        <v>44</v>
      </c>
      <c r="M42" s="85">
        <v>8</v>
      </c>
      <c r="N42" s="85">
        <f>+SUM(N10:N40)</f>
        <v>11</v>
      </c>
      <c r="O42" s="85">
        <f>+SUM(O10:O40)</f>
        <v>5</v>
      </c>
      <c r="P42" s="88">
        <f>+SUM(P10:P40)</f>
        <v>782522.47572600003</v>
      </c>
    </row>
    <row r="43" spans="1:18" x14ac:dyDescent="0.3">
      <c r="A43" s="35"/>
      <c r="B43" s="35"/>
      <c r="C43" s="35"/>
      <c r="D43" s="35"/>
      <c r="E43" s="35"/>
      <c r="F43" s="35"/>
      <c r="G43" s="35"/>
      <c r="H43" s="35"/>
      <c r="I43" s="35"/>
      <c r="J43" s="35"/>
      <c r="K43" s="35"/>
      <c r="L43" s="35"/>
      <c r="O43" s="35"/>
      <c r="P43" s="90" t="s">
        <v>92</v>
      </c>
    </row>
    <row r="44" spans="1:18" ht="96.75" customHeight="1" x14ac:dyDescent="0.3">
      <c r="A44" s="35"/>
      <c r="B44" s="35"/>
      <c r="C44" s="35"/>
      <c r="D44" s="35"/>
      <c r="E44" s="35"/>
      <c r="F44" s="35"/>
      <c r="G44" s="35"/>
      <c r="H44" s="35"/>
      <c r="I44" s="35"/>
      <c r="J44" s="35"/>
      <c r="K44" s="35"/>
      <c r="L44" s="35"/>
      <c r="N44" s="91"/>
      <c r="O44" s="92" t="s">
        <v>112</v>
      </c>
      <c r="P44" s="201">
        <f>+($L$21*$M$21)+($L$22*$M$22)+($L$23*$M$23)+($L$24*$M$24)+($L$25*$M$25)+($L$26*$M$26)+($L$27*$M$27)+($L$30*$M$30)+($L$31*$M$31)+($L$32*$M$32)+($L$33*$M$33)+($L$34*$M$34)+U34+($L$38*$M$38)+($L$39*$M$39)+($L$40*$M$40)+($L$10*$M$10)+($L$11*$M$11)+($L$17*$M$17)+($L$18*$M$18)+($L$19*$M$19)+($L$20*$M$20)</f>
        <v>253970.92667099999</v>
      </c>
      <c r="R44" s="202" t="s">
        <v>113</v>
      </c>
    </row>
    <row r="45" spans="1:18" ht="48.75" customHeight="1" x14ac:dyDescent="0.3">
      <c r="A45" s="35"/>
      <c r="B45" s="35"/>
      <c r="C45" s="35"/>
      <c r="D45" s="35"/>
      <c r="E45" s="35"/>
      <c r="F45" s="35"/>
      <c r="G45" s="35"/>
      <c r="I45" s="35"/>
      <c r="J45" s="35"/>
      <c r="K45" s="35"/>
      <c r="L45" s="35"/>
      <c r="N45" s="91"/>
      <c r="O45" s="92" t="s">
        <v>114</v>
      </c>
      <c r="P45" s="223">
        <f>+($L$10*$N$10)+($L$11*$N$11)+($L$17*$N$17)+($L$18*$N$18)+($L$19*$N$19)+($L$20*$N$20)+($L$21*$N$21)+($L$22*$N$22)+($L$23*$N$23)+($L$24*$N$24)+($L$25*$N$25)+($L$26*$N$26)+($L$27*$N$27)+($L$28*$N$28)+($L$30*$N$30)+($L$31*$N$31)+($L$32*$N$32)+($L$33*$N$33)+($L$34*$N$34)+($L$35*$N$35)+($L$36*$N$36)+($L$38*$N$38)+($L$39*$N$39)+($L$40*$N$40)</f>
        <v>321278.74832899997</v>
      </c>
    </row>
    <row r="46" spans="1:18" ht="34.5" customHeight="1" x14ac:dyDescent="0.3">
      <c r="F46" s="55"/>
      <c r="G46" s="55"/>
      <c r="H46" s="55"/>
      <c r="I46" s="55"/>
      <c r="J46" s="55"/>
      <c r="K46" s="55"/>
      <c r="L46" s="55"/>
      <c r="N46" s="91"/>
      <c r="O46" s="92" t="s">
        <v>95</v>
      </c>
      <c r="P46" s="217">
        <f>+($L$21*$O$21)+($L$22*$O$22)+($L$23*$O$23)+($L$24*$O$24)+($L$25*$O$25)+($L$26*$O$26)+($L$27*$O$27)+($L$30*$O$30)+($L$31*$O$31)+($L$32*$O$32)+($L$33*$O$33)+($L$34*$O$34)+($L$35*$O$35)+($L$38*$O$38)+($L$39*$O$39)+($L$40*$O$40)+($L$10*$O$10)+($L$11*$O$11)+($L$20*$O$20)+($L$19*$O$19)+($L$18*$O$18)+($L$17*$O$17)</f>
        <v>207273.12667600001</v>
      </c>
    </row>
    <row r="47" spans="1:18" ht="6" customHeight="1" x14ac:dyDescent="0.3">
      <c r="L47" s="29">
        <v>4</v>
      </c>
      <c r="M47" s="91"/>
      <c r="N47" s="91"/>
      <c r="O47" s="91"/>
    </row>
    <row r="49" spans="1:1" x14ac:dyDescent="0.3">
      <c r="A49" s="91" t="s">
        <v>96</v>
      </c>
    </row>
    <row r="50" spans="1:1" x14ac:dyDescent="0.3">
      <c r="A50" s="91"/>
    </row>
    <row r="51" spans="1:1" x14ac:dyDescent="0.3">
      <c r="A51" s="91" t="s">
        <v>97</v>
      </c>
    </row>
    <row r="52" spans="1:1" x14ac:dyDescent="0.3">
      <c r="A52" s="91" t="s">
        <v>98</v>
      </c>
    </row>
    <row r="53" spans="1:1" x14ac:dyDescent="0.3">
      <c r="A53" s="91"/>
    </row>
    <row r="54" spans="1:1" x14ac:dyDescent="0.3">
      <c r="A54" s="91" t="s">
        <v>99</v>
      </c>
    </row>
    <row r="55" spans="1:1" x14ac:dyDescent="0.3">
      <c r="A55" s="91"/>
    </row>
    <row r="56" spans="1:1" x14ac:dyDescent="0.3">
      <c r="A56" s="91" t="s">
        <v>100</v>
      </c>
    </row>
    <row r="57" spans="1:1" x14ac:dyDescent="0.3">
      <c r="A57" s="91"/>
    </row>
    <row r="58" spans="1:1" x14ac:dyDescent="0.3">
      <c r="A58" s="91" t="s">
        <v>101</v>
      </c>
    </row>
    <row r="59" spans="1:1" x14ac:dyDescent="0.3">
      <c r="A59" s="91" t="s">
        <v>102</v>
      </c>
    </row>
    <row r="61" spans="1:1" x14ac:dyDescent="0.3">
      <c r="A61" s="161" t="s">
        <v>115</v>
      </c>
    </row>
  </sheetData>
  <sheetProtection selectLockedCells="1" selectUnlockedCells="1"/>
  <mergeCells count="41">
    <mergeCell ref="A1:B1"/>
    <mergeCell ref="A2:B2"/>
    <mergeCell ref="A38:A40"/>
    <mergeCell ref="L13:L16"/>
    <mergeCell ref="E13:E16"/>
    <mergeCell ref="J6:J9"/>
    <mergeCell ref="L6:L9"/>
    <mergeCell ref="I1:L1"/>
    <mergeCell ref="A17:A21"/>
    <mergeCell ref="A22:A28"/>
    <mergeCell ref="A30:A36"/>
    <mergeCell ref="K13:K16"/>
    <mergeCell ref="A13:A16"/>
    <mergeCell ref="B13:B16"/>
    <mergeCell ref="C13:C16"/>
    <mergeCell ref="D13:D16"/>
    <mergeCell ref="F13:F16"/>
    <mergeCell ref="G13:G16"/>
    <mergeCell ref="H13:H16"/>
    <mergeCell ref="I13:I16"/>
    <mergeCell ref="J13:J16"/>
    <mergeCell ref="M13:M16"/>
    <mergeCell ref="N13:N16"/>
    <mergeCell ref="P6:P9"/>
    <mergeCell ref="O13:O16"/>
    <mergeCell ref="P13:P16"/>
    <mergeCell ref="M6:M9"/>
    <mergeCell ref="N6:N9"/>
    <mergeCell ref="O6:O9"/>
    <mergeCell ref="I2:L3"/>
    <mergeCell ref="K6:K9"/>
    <mergeCell ref="A5:P5"/>
    <mergeCell ref="A6:A11"/>
    <mergeCell ref="B6:B9"/>
    <mergeCell ref="C6:C9"/>
    <mergeCell ref="D6:D9"/>
    <mergeCell ref="E6:E9"/>
    <mergeCell ref="F6:F9"/>
    <mergeCell ref="G6:G9"/>
    <mergeCell ref="H6:H9"/>
    <mergeCell ref="I6:I9"/>
  </mergeCells>
  <hyperlinks>
    <hyperlink ref="D3" r:id="rId1" xr:uid="{00000000-0004-0000-0600-000000000000}"/>
  </hyperlinks>
  <pageMargins left="0.45" right="0.47013888888888888" top="0.62013888888888891" bottom="0.47013888888888888" header="0.51180555555555551" footer="0.51180555555555551"/>
  <pageSetup paperSize="9" scale="73" firstPageNumber="0" orientation="landscape" horizontalDpi="300" verticalDpi="30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61"/>
  <sheetViews>
    <sheetView topLeftCell="F1" zoomScale="80" zoomScaleNormal="80" workbookViewId="0">
      <selection activeCell="I10" sqref="I10:L11"/>
    </sheetView>
  </sheetViews>
  <sheetFormatPr defaultColWidth="8.5546875" defaultRowHeight="15.6" x14ac:dyDescent="0.3"/>
  <cols>
    <col min="1" max="1" width="13.44140625" style="29" customWidth="1"/>
    <col min="2" max="2" width="24.21875" style="29" customWidth="1"/>
    <col min="3" max="3" width="20.77734375" style="29" customWidth="1"/>
    <col min="4" max="4" width="26.44140625" style="29" customWidth="1"/>
    <col min="5" max="5" width="14.44140625" style="29" customWidth="1"/>
    <col min="6" max="6" width="14.21875" style="29" bestFit="1" customWidth="1"/>
    <col min="7" max="7" width="12.77734375" style="29" customWidth="1"/>
    <col min="8" max="8" width="14" style="29" customWidth="1"/>
    <col min="9" max="9" width="14.21875" style="29" customWidth="1"/>
    <col min="10" max="10" width="11.77734375" style="29" customWidth="1"/>
    <col min="11" max="11" width="12.77734375" style="29" customWidth="1"/>
    <col min="12" max="12" width="16" style="29" customWidth="1"/>
    <col min="13" max="13" width="23" style="89" customWidth="1"/>
    <col min="14" max="14" width="21.77734375" style="89" customWidth="1"/>
    <col min="15" max="15" width="25.5546875" style="89" customWidth="1"/>
    <col min="16" max="16" width="17.21875" style="89" customWidth="1"/>
    <col min="17" max="17" width="8.5546875" style="29"/>
    <col min="18" max="18" width="12" style="29" customWidth="1"/>
    <col min="19" max="19" width="11.44140625" style="29" customWidth="1"/>
    <col min="20" max="21" width="12" style="29" customWidth="1"/>
    <col min="22" max="16384" width="8.5546875" style="29"/>
  </cols>
  <sheetData>
    <row r="1" spans="1:18" ht="49.8" x14ac:dyDescent="0.35">
      <c r="A1" s="298" t="s">
        <v>0</v>
      </c>
      <c r="B1" s="299"/>
      <c r="C1" s="180" t="s">
        <v>1</v>
      </c>
      <c r="D1" s="181"/>
      <c r="E1" s="36"/>
      <c r="F1" s="35"/>
      <c r="G1" s="35"/>
      <c r="H1" s="35"/>
      <c r="I1" s="259" t="s">
        <v>50</v>
      </c>
      <c r="J1" s="260"/>
      <c r="K1" s="260"/>
      <c r="L1" s="261"/>
      <c r="M1" s="74" t="s">
        <v>116</v>
      </c>
      <c r="N1" s="75" t="s">
        <v>104</v>
      </c>
      <c r="O1" s="198" t="s">
        <v>105</v>
      </c>
      <c r="P1" s="199"/>
    </row>
    <row r="2" spans="1:18" ht="20.25" customHeight="1" thickBot="1" x14ac:dyDescent="0.35">
      <c r="A2" s="300" t="s">
        <v>3</v>
      </c>
      <c r="B2" s="301"/>
      <c r="C2" s="176"/>
      <c r="D2" s="182"/>
      <c r="E2" s="36"/>
      <c r="F2" s="35"/>
      <c r="G2" s="35"/>
      <c r="H2" s="37"/>
      <c r="I2" s="289" t="s">
        <v>4</v>
      </c>
      <c r="J2" s="290"/>
      <c r="K2" s="290"/>
      <c r="L2" s="291"/>
      <c r="M2" s="192">
        <f>'Tab. 3.3  Cessati anno 2024'!N42</f>
        <v>355179.33012099995</v>
      </c>
      <c r="N2" s="175">
        <f>'Tab. 4.2 Assunzioni anno 2024'!N2-'Tab. 4.2 Assunzioni anno 2024'!P45</f>
        <v>110542.23577500001</v>
      </c>
      <c r="O2" s="193">
        <f>'Tab. 4.2 Assunzioni anno 2024'!O2-'Tab. 4.2 Assunzioni anno 2024'!P47</f>
        <v>389265.97258</v>
      </c>
      <c r="P2" s="200"/>
    </row>
    <row r="3" spans="1:18" ht="34.5" customHeight="1" thickBot="1" x14ac:dyDescent="0.35">
      <c r="A3" s="183" t="s">
        <v>5</v>
      </c>
      <c r="B3" s="184" t="s">
        <v>6</v>
      </c>
      <c r="C3" s="184" t="s">
        <v>7</v>
      </c>
      <c r="D3" s="185" t="s">
        <v>117</v>
      </c>
      <c r="E3" s="36"/>
      <c r="F3" s="35"/>
      <c r="G3" s="35"/>
      <c r="H3" s="35"/>
      <c r="I3" s="292"/>
      <c r="J3" s="293"/>
      <c r="K3" s="293"/>
      <c r="L3" s="294"/>
      <c r="M3" s="35"/>
      <c r="N3" s="35"/>
      <c r="O3" s="35"/>
      <c r="P3" s="35"/>
    </row>
    <row r="4" spans="1:18" ht="16.5" customHeight="1" x14ac:dyDescent="0.3">
      <c r="A4" s="38"/>
      <c r="B4" s="38"/>
      <c r="C4" s="38"/>
      <c r="D4" s="38"/>
      <c r="E4" s="38"/>
      <c r="F4" s="38"/>
      <c r="G4" s="38"/>
      <c r="H4" s="38"/>
      <c r="I4" s="38"/>
      <c r="J4" s="38"/>
      <c r="K4" s="38"/>
      <c r="L4" s="38"/>
      <c r="M4" s="79"/>
      <c r="N4" s="79"/>
      <c r="O4" s="79"/>
      <c r="P4" s="79"/>
    </row>
    <row r="5" spans="1:18" ht="19.5" customHeight="1" x14ac:dyDescent="0.3">
      <c r="A5" s="314" t="s">
        <v>118</v>
      </c>
      <c r="B5" s="315"/>
      <c r="C5" s="315"/>
      <c r="D5" s="315"/>
      <c r="E5" s="315"/>
      <c r="F5" s="315"/>
      <c r="G5" s="315"/>
      <c r="H5" s="315"/>
      <c r="I5" s="315"/>
      <c r="J5" s="315"/>
      <c r="K5" s="315"/>
      <c r="L5" s="315"/>
      <c r="M5" s="315"/>
      <c r="N5" s="315"/>
      <c r="O5" s="315"/>
      <c r="P5" s="315"/>
    </row>
    <row r="6" spans="1:18" ht="15" customHeight="1" x14ac:dyDescent="0.3">
      <c r="A6" s="268" t="s">
        <v>10</v>
      </c>
      <c r="B6" s="241" t="s">
        <v>82</v>
      </c>
      <c r="C6" s="241" t="s">
        <v>12</v>
      </c>
      <c r="D6" s="241" t="s">
        <v>13</v>
      </c>
      <c r="E6" s="241" t="s">
        <v>14</v>
      </c>
      <c r="F6" s="241" t="s">
        <v>15</v>
      </c>
      <c r="G6" s="241" t="s">
        <v>16</v>
      </c>
      <c r="H6" s="265" t="s">
        <v>17</v>
      </c>
      <c r="I6" s="241" t="s">
        <v>18</v>
      </c>
      <c r="J6" s="241" t="s">
        <v>19</v>
      </c>
      <c r="K6" s="241" t="s">
        <v>20</v>
      </c>
      <c r="L6" s="253" t="s">
        <v>21</v>
      </c>
      <c r="M6" s="241" t="s">
        <v>119</v>
      </c>
      <c r="N6" s="241" t="s">
        <v>84</v>
      </c>
      <c r="O6" s="316" t="s">
        <v>120</v>
      </c>
      <c r="P6" s="309" t="s">
        <v>86</v>
      </c>
    </row>
    <row r="7" spans="1:18" ht="15" customHeight="1" x14ac:dyDescent="0.3">
      <c r="A7" s="269"/>
      <c r="B7" s="242"/>
      <c r="C7" s="242"/>
      <c r="D7" s="242"/>
      <c r="E7" s="242"/>
      <c r="F7" s="242"/>
      <c r="G7" s="242"/>
      <c r="H7" s="266"/>
      <c r="I7" s="242"/>
      <c r="J7" s="242"/>
      <c r="K7" s="242"/>
      <c r="L7" s="254"/>
      <c r="M7" s="242"/>
      <c r="N7" s="242"/>
      <c r="O7" s="303"/>
      <c r="P7" s="307"/>
    </row>
    <row r="8" spans="1:18" ht="15" customHeight="1" x14ac:dyDescent="0.3">
      <c r="A8" s="269"/>
      <c r="B8" s="242"/>
      <c r="C8" s="242"/>
      <c r="D8" s="242"/>
      <c r="E8" s="242"/>
      <c r="F8" s="242"/>
      <c r="G8" s="242"/>
      <c r="H8" s="266"/>
      <c r="I8" s="242"/>
      <c r="J8" s="242"/>
      <c r="K8" s="242"/>
      <c r="L8" s="254"/>
      <c r="M8" s="242"/>
      <c r="N8" s="242"/>
      <c r="O8" s="303"/>
      <c r="P8" s="307"/>
    </row>
    <row r="9" spans="1:18" ht="15" customHeight="1" x14ac:dyDescent="0.3">
      <c r="A9" s="269"/>
      <c r="B9" s="243"/>
      <c r="C9" s="242"/>
      <c r="D9" s="243"/>
      <c r="E9" s="243"/>
      <c r="F9" s="243"/>
      <c r="G9" s="243"/>
      <c r="H9" s="267"/>
      <c r="I9" s="243"/>
      <c r="J9" s="243"/>
      <c r="K9" s="243"/>
      <c r="L9" s="255"/>
      <c r="M9" s="243"/>
      <c r="N9" s="243"/>
      <c r="O9" s="304"/>
      <c r="P9" s="308"/>
    </row>
    <row r="10" spans="1:18" ht="18" customHeight="1" x14ac:dyDescent="0.3">
      <c r="A10" s="269"/>
      <c r="B10" s="236" t="s">
        <v>147</v>
      </c>
      <c r="C10" s="229">
        <f>4623.3*12</f>
        <v>55479.600000000006</v>
      </c>
      <c r="D10" s="230"/>
      <c r="E10" s="231">
        <f>23.12*12</f>
        <v>277.44</v>
      </c>
      <c r="F10" s="231"/>
      <c r="G10" s="232">
        <f>(C10+E10)/12</f>
        <v>4646.420000000001</v>
      </c>
      <c r="H10" s="233">
        <f>SUM(C10:G10)</f>
        <v>60403.460000000006</v>
      </c>
      <c r="I10" s="232">
        <f>H10*23.46%</f>
        <v>14170.651716000002</v>
      </c>
      <c r="J10" s="232">
        <f>H10*7.41%</f>
        <v>4475.8963860000003</v>
      </c>
      <c r="K10" s="232">
        <f>H10*8.5%</f>
        <v>5134.294100000001</v>
      </c>
      <c r="L10" s="237">
        <f>SUM(H10:K10)</f>
        <v>84184.302202000021</v>
      </c>
      <c r="M10" s="11"/>
      <c r="N10" s="11"/>
      <c r="O10" s="80"/>
      <c r="P10" s="107">
        <f>+(M10+N10+O10)*L10</f>
        <v>0</v>
      </c>
    </row>
    <row r="11" spans="1:18" ht="18" customHeight="1" x14ac:dyDescent="0.3">
      <c r="A11" s="270"/>
      <c r="B11" s="236" t="s">
        <v>25</v>
      </c>
      <c r="C11" s="229">
        <f>3616.6*12</f>
        <v>43399.199999999997</v>
      </c>
      <c r="D11" s="234"/>
      <c r="E11" s="235">
        <f>18.08*12</f>
        <v>216.95999999999998</v>
      </c>
      <c r="F11" s="235"/>
      <c r="G11" s="232">
        <f>(C11+E11)/12</f>
        <v>3634.68</v>
      </c>
      <c r="H11" s="233">
        <f>SUM(C11:G11)</f>
        <v>47250.84</v>
      </c>
      <c r="I11" s="232">
        <f>H11*23.46%</f>
        <v>11085.047063999998</v>
      </c>
      <c r="J11" s="232">
        <f>H11*7.41%</f>
        <v>3501.2872439999996</v>
      </c>
      <c r="K11" s="232">
        <f>H11*8.5%</f>
        <v>4016.3213999999998</v>
      </c>
      <c r="L11" s="237">
        <f>SUM(H11:K11)</f>
        <v>65853.495707999988</v>
      </c>
      <c r="M11" s="14">
        <v>2</v>
      </c>
      <c r="N11" s="14"/>
      <c r="O11" s="81"/>
      <c r="P11" s="107">
        <f>+(M11+N11+O11)*L11</f>
        <v>131706.99141599998</v>
      </c>
      <c r="R11" s="30"/>
    </row>
    <row r="12" spans="1:18" ht="14.25" customHeight="1" x14ac:dyDescent="0.3">
      <c r="A12" s="40"/>
      <c r="B12" s="41"/>
      <c r="C12" s="42"/>
      <c r="D12" s="43"/>
      <c r="E12" s="43"/>
      <c r="F12" s="43"/>
      <c r="G12" s="43"/>
      <c r="H12" s="43"/>
      <c r="I12" s="43"/>
      <c r="J12" s="43"/>
      <c r="K12" s="43"/>
      <c r="L12" s="43"/>
      <c r="M12" s="44"/>
      <c r="N12" s="44"/>
      <c r="O12" s="44"/>
      <c r="P12" s="82"/>
      <c r="Q12" s="30"/>
      <c r="R12" s="30"/>
    </row>
    <row r="13" spans="1:18" ht="15" customHeight="1" x14ac:dyDescent="0.3">
      <c r="A13" s="268" t="s">
        <v>26</v>
      </c>
      <c r="B13" s="286" t="s">
        <v>87</v>
      </c>
      <c r="C13" s="241" t="s">
        <v>28</v>
      </c>
      <c r="D13" s="244"/>
      <c r="E13" s="241" t="s">
        <v>14</v>
      </c>
      <c r="F13" s="241" t="s">
        <v>15</v>
      </c>
      <c r="G13" s="241" t="s">
        <v>16</v>
      </c>
      <c r="H13" s="265" t="s">
        <v>17</v>
      </c>
      <c r="I13" s="241" t="s">
        <v>18</v>
      </c>
      <c r="J13" s="241" t="s">
        <v>19</v>
      </c>
      <c r="K13" s="241" t="s">
        <v>20</v>
      </c>
      <c r="L13" s="282" t="s">
        <v>21</v>
      </c>
      <c r="M13" s="241" t="s">
        <v>119</v>
      </c>
      <c r="N13" s="241" t="s">
        <v>84</v>
      </c>
      <c r="O13" s="241" t="s">
        <v>89</v>
      </c>
      <c r="P13" s="309" t="s">
        <v>86</v>
      </c>
      <c r="Q13" s="30"/>
      <c r="R13" s="30"/>
    </row>
    <row r="14" spans="1:18" ht="15" customHeight="1" x14ac:dyDescent="0.3">
      <c r="A14" s="269"/>
      <c r="B14" s="287"/>
      <c r="C14" s="242"/>
      <c r="D14" s="245"/>
      <c r="E14" s="242"/>
      <c r="F14" s="242"/>
      <c r="G14" s="242"/>
      <c r="H14" s="266"/>
      <c r="I14" s="242"/>
      <c r="J14" s="242"/>
      <c r="K14" s="242"/>
      <c r="L14" s="282"/>
      <c r="M14" s="242"/>
      <c r="N14" s="242"/>
      <c r="O14" s="242"/>
      <c r="P14" s="307"/>
      <c r="Q14" s="30"/>
      <c r="R14" s="30"/>
    </row>
    <row r="15" spans="1:18" ht="15" customHeight="1" x14ac:dyDescent="0.3">
      <c r="A15" s="269"/>
      <c r="B15" s="287"/>
      <c r="C15" s="242"/>
      <c r="D15" s="245"/>
      <c r="E15" s="242"/>
      <c r="F15" s="242"/>
      <c r="G15" s="242"/>
      <c r="H15" s="266"/>
      <c r="I15" s="242"/>
      <c r="J15" s="242"/>
      <c r="K15" s="242"/>
      <c r="L15" s="282"/>
      <c r="M15" s="242"/>
      <c r="N15" s="242"/>
      <c r="O15" s="242"/>
      <c r="P15" s="307"/>
    </row>
    <row r="16" spans="1:18" ht="67.5" customHeight="1" x14ac:dyDescent="0.3">
      <c r="A16" s="270"/>
      <c r="B16" s="288"/>
      <c r="C16" s="243"/>
      <c r="D16" s="246"/>
      <c r="E16" s="243"/>
      <c r="F16" s="243"/>
      <c r="G16" s="243"/>
      <c r="H16" s="267"/>
      <c r="I16" s="243"/>
      <c r="J16" s="243"/>
      <c r="K16" s="243"/>
      <c r="L16" s="282"/>
      <c r="M16" s="243"/>
      <c r="N16" s="243"/>
      <c r="O16" s="305"/>
      <c r="P16" s="308"/>
      <c r="R16" s="30"/>
    </row>
    <row r="17" spans="1:16" ht="15.6" customHeight="1" x14ac:dyDescent="0.3">
      <c r="A17" s="205" t="s">
        <v>31</v>
      </c>
      <c r="B17" s="23" t="s">
        <v>32</v>
      </c>
      <c r="C17" s="26">
        <v>44674.87</v>
      </c>
      <c r="D17" s="58"/>
      <c r="E17" s="25">
        <f>+ROUND(C17/12*0.005,2)*12</f>
        <v>223.32</v>
      </c>
      <c r="F17" s="109"/>
      <c r="G17" s="110">
        <f>+ROUND((C17+E17+F17)/12,2)</f>
        <v>3741.52</v>
      </c>
      <c r="H17" s="111">
        <f t="shared" ref="H17:H28" si="0">+G17+E17+C17</f>
        <v>48639.710000000006</v>
      </c>
      <c r="I17" s="26">
        <f>H17*23.46%</f>
        <v>11410.875966000001</v>
      </c>
      <c r="J17" s="26">
        <f>H17*7.41%</f>
        <v>3604.2025110000004</v>
      </c>
      <c r="K17" s="113">
        <f>H17*8.5%</f>
        <v>4134.3753500000012</v>
      </c>
      <c r="L17" s="45">
        <f>+H17+I17+J17+K17</f>
        <v>67789.163827000011</v>
      </c>
      <c r="M17" s="50"/>
      <c r="N17" s="83"/>
      <c r="O17" s="49"/>
      <c r="P17" s="107">
        <f>+(M17+N17+O17)*L17</f>
        <v>0</v>
      </c>
    </row>
    <row r="18" spans="1:16" x14ac:dyDescent="0.3">
      <c r="A18" s="206"/>
      <c r="B18" s="23" t="s">
        <v>33</v>
      </c>
      <c r="C18" s="26">
        <v>40560.15</v>
      </c>
      <c r="D18" s="58"/>
      <c r="E18" s="25">
        <f>+ROUND(C18/12*0.005,2)*12</f>
        <v>202.79999999999998</v>
      </c>
      <c r="F18" s="109"/>
      <c r="G18" s="110">
        <f>+ROUND((C18+E18+F18)/12,2)</f>
        <v>3396.91</v>
      </c>
      <c r="H18" s="111">
        <f t="shared" si="0"/>
        <v>44159.86</v>
      </c>
      <c r="I18" s="26">
        <f t="shared" ref="I18:I41" si="1">H18*23.46%</f>
        <v>10359.903156</v>
      </c>
      <c r="J18" s="26">
        <f t="shared" ref="J18:J41" si="2">H18*7.41%</f>
        <v>3272.2456259999999</v>
      </c>
      <c r="K18" s="113">
        <f>H18*8.5%</f>
        <v>3753.5881000000004</v>
      </c>
      <c r="L18" s="45">
        <f>+H18+I18+J18+K18</f>
        <v>61545.596882000005</v>
      </c>
      <c r="M18" s="50"/>
      <c r="N18" s="83"/>
      <c r="O18" s="49"/>
      <c r="P18" s="107">
        <f>+(M18+N18+O18)*L18</f>
        <v>0</v>
      </c>
    </row>
    <row r="19" spans="1:16" x14ac:dyDescent="0.3">
      <c r="A19" s="206"/>
      <c r="B19" s="23" t="s">
        <v>34</v>
      </c>
      <c r="C19" s="26">
        <v>34480.639999999999</v>
      </c>
      <c r="D19" s="58"/>
      <c r="E19" s="25">
        <f>+ROUND(C19/12*0.005,2)*12</f>
        <v>172.44</v>
      </c>
      <c r="F19" s="109"/>
      <c r="G19" s="110">
        <f>+ROUND((C19+E19+F19)/12,2)</f>
        <v>2887.76</v>
      </c>
      <c r="H19" s="111">
        <f t="shared" si="0"/>
        <v>37540.839999999997</v>
      </c>
      <c r="I19" s="26">
        <f t="shared" si="1"/>
        <v>8807.081064</v>
      </c>
      <c r="J19" s="26">
        <f t="shared" si="2"/>
        <v>2781.7762439999997</v>
      </c>
      <c r="K19" s="113">
        <f>H19*8.5%</f>
        <v>3190.9713999999999</v>
      </c>
      <c r="L19" s="45">
        <f>+H19+I19+J19+K19</f>
        <v>52320.668707999997</v>
      </c>
      <c r="M19" s="50"/>
      <c r="N19" s="83"/>
      <c r="O19" s="49"/>
      <c r="P19" s="107">
        <f>+(M19+N19+O19)*L19</f>
        <v>0</v>
      </c>
    </row>
    <row r="20" spans="1:16" x14ac:dyDescent="0.3">
      <c r="A20" s="207"/>
      <c r="B20" s="23" t="s">
        <v>35</v>
      </c>
      <c r="C20" s="26">
        <v>32491.32</v>
      </c>
      <c r="D20" s="58"/>
      <c r="E20" s="25">
        <f>+ROUND(C20/12*0.005,2)*12</f>
        <v>162.47999999999999</v>
      </c>
      <c r="F20" s="109"/>
      <c r="G20" s="110">
        <f>+ROUND((C20+E20+F20)/12,2)</f>
        <v>2721.15</v>
      </c>
      <c r="H20" s="111">
        <f t="shared" si="0"/>
        <v>35374.949999999997</v>
      </c>
      <c r="I20" s="26">
        <f t="shared" si="1"/>
        <v>8298.9632700000002</v>
      </c>
      <c r="J20" s="26">
        <f t="shared" si="2"/>
        <v>2621.2837949999998</v>
      </c>
      <c r="K20" s="113">
        <f>H20*8.5%</f>
        <v>3006.87075</v>
      </c>
      <c r="L20" s="45">
        <f>+H20+I20+J20+K20</f>
        <v>49302.067815000002</v>
      </c>
      <c r="M20" s="50"/>
      <c r="N20" s="83"/>
      <c r="O20" s="49"/>
      <c r="P20" s="107">
        <f>+(M20+N20+O20)*L20</f>
        <v>0</v>
      </c>
    </row>
    <row r="21" spans="1:16" x14ac:dyDescent="0.3">
      <c r="A21" s="206"/>
      <c r="B21" s="23" t="s">
        <v>90</v>
      </c>
      <c r="C21" s="26"/>
      <c r="D21" s="58"/>
      <c r="E21" s="25"/>
      <c r="F21" s="109"/>
      <c r="G21" s="110"/>
      <c r="H21" s="111"/>
      <c r="I21" s="26">
        <v>0</v>
      </c>
      <c r="J21" s="26">
        <v>0</v>
      </c>
      <c r="K21" s="113">
        <v>0</v>
      </c>
      <c r="L21" s="45">
        <v>13947.160072999999</v>
      </c>
      <c r="M21" s="50"/>
      <c r="N21" s="83"/>
      <c r="O21" s="49"/>
      <c r="P21" s="107"/>
    </row>
    <row r="22" spans="1:16" ht="15.75" customHeight="1" x14ac:dyDescent="0.3">
      <c r="A22" s="205" t="s">
        <v>36</v>
      </c>
      <c r="B22" s="23" t="s">
        <v>34</v>
      </c>
      <c r="C22" s="24">
        <v>33614.480000000003</v>
      </c>
      <c r="D22" s="58"/>
      <c r="E22" s="25">
        <f>+ROUND(C22/12*0.005,2)*12</f>
        <v>168.12</v>
      </c>
      <c r="F22" s="109"/>
      <c r="G22" s="110">
        <f>+ROUND((C22+E22+F22)/12,2)</f>
        <v>2815.22</v>
      </c>
      <c r="H22" s="111">
        <f t="shared" si="0"/>
        <v>36597.82</v>
      </c>
      <c r="I22" s="26">
        <f t="shared" si="1"/>
        <v>8585.8485720000008</v>
      </c>
      <c r="J22" s="26">
        <f t="shared" si="2"/>
        <v>2711.8984620000001</v>
      </c>
      <c r="K22" s="113">
        <f>H22*8.5%</f>
        <v>3110.8147000000004</v>
      </c>
      <c r="L22" s="45">
        <f>+H22+I22+J22+K22</f>
        <v>51006.381734000002</v>
      </c>
      <c r="M22" s="50"/>
      <c r="N22" s="83"/>
      <c r="O22" s="49"/>
      <c r="P22" s="107">
        <f>+(M22+N22+O22)*L22</f>
        <v>0</v>
      </c>
    </row>
    <row r="23" spans="1:16" x14ac:dyDescent="0.3">
      <c r="A23" s="206"/>
      <c r="B23" s="23" t="s">
        <v>35</v>
      </c>
      <c r="C23" s="24">
        <v>31641</v>
      </c>
      <c r="D23" s="58"/>
      <c r="E23" s="25">
        <f t="shared" ref="E23:E41" si="3">+ROUND(C23/12*0.005,2)*12</f>
        <v>158.16</v>
      </c>
      <c r="F23" s="109"/>
      <c r="G23" s="110">
        <f t="shared" ref="G23:G41" si="4">+ROUND((C23+E23+F23)/12,2)</f>
        <v>2649.93</v>
      </c>
      <c r="H23" s="111">
        <f t="shared" si="0"/>
        <v>34449.089999999997</v>
      </c>
      <c r="I23" s="26">
        <f t="shared" si="1"/>
        <v>8081.7565139999997</v>
      </c>
      <c r="J23" s="26">
        <f t="shared" si="2"/>
        <v>2552.6775689999995</v>
      </c>
      <c r="K23" s="113">
        <f t="shared" ref="K23:K28" si="5">H23*8.5%</f>
        <v>2928.17265</v>
      </c>
      <c r="L23" s="45">
        <f t="shared" ref="L23:L41" si="6">+H23+I23+J23+K23</f>
        <v>48011.696732999997</v>
      </c>
      <c r="M23" s="50"/>
      <c r="N23" s="84"/>
      <c r="O23" s="49"/>
      <c r="P23" s="107">
        <f t="shared" ref="P23:P28" si="7">+(M23+N23+O23)*L23</f>
        <v>0</v>
      </c>
    </row>
    <row r="24" spans="1:16" x14ac:dyDescent="0.3">
      <c r="A24" s="206"/>
      <c r="B24" s="23" t="s">
        <v>37</v>
      </c>
      <c r="C24" s="24">
        <v>29655.67</v>
      </c>
      <c r="D24" s="58"/>
      <c r="E24" s="25">
        <f t="shared" si="3"/>
        <v>148.32</v>
      </c>
      <c r="F24" s="109"/>
      <c r="G24" s="110">
        <f t="shared" si="4"/>
        <v>2483.67</v>
      </c>
      <c r="H24" s="111">
        <f t="shared" si="0"/>
        <v>32287.66</v>
      </c>
      <c r="I24" s="26">
        <f t="shared" si="1"/>
        <v>7574.6850359999999</v>
      </c>
      <c r="J24" s="26">
        <f t="shared" si="2"/>
        <v>2392.5156059999999</v>
      </c>
      <c r="K24" s="113">
        <f t="shared" si="5"/>
        <v>2744.4511000000002</v>
      </c>
      <c r="L24" s="45">
        <f t="shared" si="6"/>
        <v>44999.311741999998</v>
      </c>
      <c r="M24" s="50"/>
      <c r="N24" s="84"/>
      <c r="O24" s="49"/>
      <c r="P24" s="107">
        <f t="shared" si="7"/>
        <v>0</v>
      </c>
    </row>
    <row r="25" spans="1:16" x14ac:dyDescent="0.3">
      <c r="A25" s="206"/>
      <c r="B25" s="23" t="s">
        <v>38</v>
      </c>
      <c r="C25" s="24">
        <v>27858.84</v>
      </c>
      <c r="D25" s="59"/>
      <c r="E25" s="25">
        <f t="shared" si="3"/>
        <v>139.32</v>
      </c>
      <c r="F25" s="114"/>
      <c r="G25" s="110">
        <f t="shared" si="4"/>
        <v>2333.1799999999998</v>
      </c>
      <c r="H25" s="111">
        <f t="shared" si="0"/>
        <v>30331.34</v>
      </c>
      <c r="I25" s="26">
        <f t="shared" si="1"/>
        <v>7115.7323640000004</v>
      </c>
      <c r="J25" s="26">
        <f t="shared" si="2"/>
        <v>2247.5522940000001</v>
      </c>
      <c r="K25" s="113">
        <f t="shared" si="5"/>
        <v>2578.1639</v>
      </c>
      <c r="L25" s="45">
        <f t="shared" si="6"/>
        <v>42272.788558</v>
      </c>
      <c r="M25" s="50"/>
      <c r="N25" s="84"/>
      <c r="O25" s="49"/>
      <c r="P25" s="107">
        <f t="shared" si="7"/>
        <v>0</v>
      </c>
    </row>
    <row r="26" spans="1:16" x14ac:dyDescent="0.3">
      <c r="A26" s="206"/>
      <c r="B26" s="23" t="s">
        <v>39</v>
      </c>
      <c r="C26" s="24">
        <v>25373.64</v>
      </c>
      <c r="D26" s="59"/>
      <c r="E26" s="25">
        <f t="shared" si="3"/>
        <v>126.84</v>
      </c>
      <c r="F26" s="114"/>
      <c r="G26" s="110">
        <f t="shared" si="4"/>
        <v>2125.04</v>
      </c>
      <c r="H26" s="111">
        <f t="shared" si="0"/>
        <v>27625.52</v>
      </c>
      <c r="I26" s="26">
        <f t="shared" si="1"/>
        <v>6480.9469920000001</v>
      </c>
      <c r="J26" s="26">
        <f t="shared" si="2"/>
        <v>2047.0510320000001</v>
      </c>
      <c r="K26" s="113">
        <f t="shared" si="5"/>
        <v>2348.1692000000003</v>
      </c>
      <c r="L26" s="45">
        <f t="shared" si="6"/>
        <v>38501.687224000008</v>
      </c>
      <c r="M26" s="50"/>
      <c r="N26" s="84"/>
      <c r="O26" s="49"/>
      <c r="P26" s="107">
        <f t="shared" si="7"/>
        <v>0</v>
      </c>
    </row>
    <row r="27" spans="1:16" x14ac:dyDescent="0.3">
      <c r="A27" s="206"/>
      <c r="B27" s="23" t="s">
        <v>40</v>
      </c>
      <c r="C27" s="24">
        <v>24104.21</v>
      </c>
      <c r="D27" s="59"/>
      <c r="E27" s="25">
        <f t="shared" si="3"/>
        <v>120.47999999999999</v>
      </c>
      <c r="F27" s="114"/>
      <c r="G27" s="110">
        <f t="shared" si="4"/>
        <v>2018.72</v>
      </c>
      <c r="H27" s="111">
        <f t="shared" si="0"/>
        <v>26243.41</v>
      </c>
      <c r="I27" s="26">
        <f t="shared" si="1"/>
        <v>6156.7039860000004</v>
      </c>
      <c r="J27" s="26">
        <f t="shared" si="2"/>
        <v>1944.636681</v>
      </c>
      <c r="K27" s="113">
        <f t="shared" si="5"/>
        <v>2230.6898500000002</v>
      </c>
      <c r="L27" s="45">
        <f t="shared" si="6"/>
        <v>36575.440517000003</v>
      </c>
      <c r="M27" s="50"/>
      <c r="N27" s="84"/>
      <c r="O27" s="49"/>
      <c r="P27" s="107">
        <f t="shared" si="7"/>
        <v>0</v>
      </c>
    </row>
    <row r="28" spans="1:16" x14ac:dyDescent="0.3">
      <c r="A28" s="206"/>
      <c r="B28" s="23" t="s">
        <v>41</v>
      </c>
      <c r="C28" s="24">
        <v>23299.78</v>
      </c>
      <c r="D28" s="59"/>
      <c r="E28" s="25">
        <f t="shared" si="3"/>
        <v>116.52000000000001</v>
      </c>
      <c r="F28" s="114"/>
      <c r="G28" s="110">
        <f t="shared" si="4"/>
        <v>1951.36</v>
      </c>
      <c r="H28" s="111">
        <f t="shared" si="0"/>
        <v>25367.66</v>
      </c>
      <c r="I28" s="26">
        <f t="shared" si="1"/>
        <v>5951.2530360000001</v>
      </c>
      <c r="J28" s="26">
        <f t="shared" si="2"/>
        <v>1879.743606</v>
      </c>
      <c r="K28" s="113">
        <f t="shared" si="5"/>
        <v>2156.2511</v>
      </c>
      <c r="L28" s="45">
        <f t="shared" si="6"/>
        <v>35354.907742000003</v>
      </c>
      <c r="M28" s="72">
        <v>4</v>
      </c>
      <c r="N28" s="86"/>
      <c r="O28" s="87"/>
      <c r="P28" s="107">
        <f t="shared" si="7"/>
        <v>141419.63096800001</v>
      </c>
    </row>
    <row r="29" spans="1:16" x14ac:dyDescent="0.3">
      <c r="A29" s="210"/>
      <c r="B29" s="215" t="s">
        <v>91</v>
      </c>
      <c r="C29" s="24"/>
      <c r="D29" s="59"/>
      <c r="E29" s="25"/>
      <c r="F29" s="114"/>
      <c r="G29" s="110"/>
      <c r="H29" s="111"/>
      <c r="I29" s="26">
        <v>0</v>
      </c>
      <c r="J29" s="26">
        <v>0</v>
      </c>
      <c r="K29" s="113"/>
      <c r="L29" s="136">
        <v>6217.9228650000041</v>
      </c>
      <c r="M29" s="53"/>
      <c r="N29" s="212"/>
      <c r="O29" s="53"/>
      <c r="P29" s="108"/>
    </row>
    <row r="30" spans="1:16" x14ac:dyDescent="0.3">
      <c r="A30" s="121"/>
      <c r="B30" s="69"/>
      <c r="C30" s="61"/>
      <c r="D30" s="60"/>
      <c r="E30" s="63"/>
      <c r="F30" s="115"/>
      <c r="G30" s="116"/>
      <c r="H30" s="117"/>
      <c r="I30" s="26">
        <f t="shared" si="1"/>
        <v>0</v>
      </c>
      <c r="J30" s="26">
        <f t="shared" si="2"/>
        <v>0</v>
      </c>
      <c r="K30" s="118"/>
      <c r="L30" s="126"/>
      <c r="M30" s="64"/>
      <c r="N30" s="64"/>
      <c r="O30" s="64"/>
      <c r="P30" s="65"/>
    </row>
    <row r="31" spans="1:16" ht="17.100000000000001" customHeight="1" x14ac:dyDescent="0.3">
      <c r="A31" s="206" t="s">
        <v>42</v>
      </c>
      <c r="B31" s="31" t="s">
        <v>35</v>
      </c>
      <c r="C31" s="24">
        <v>24043.33</v>
      </c>
      <c r="D31" s="59"/>
      <c r="E31" s="25">
        <f t="shared" si="3"/>
        <v>120.24</v>
      </c>
      <c r="F31" s="114"/>
      <c r="G31" s="110">
        <f t="shared" si="4"/>
        <v>2013.63</v>
      </c>
      <c r="H31" s="111">
        <f t="shared" ref="H31:H36" si="8">+G31+E31+C31</f>
        <v>26177.200000000001</v>
      </c>
      <c r="I31" s="26">
        <f t="shared" si="1"/>
        <v>6141.17112</v>
      </c>
      <c r="J31" s="26">
        <f t="shared" si="2"/>
        <v>1939.7305200000001</v>
      </c>
      <c r="K31" s="113">
        <f t="shared" ref="K31:K36" si="9">H31*8.5%</f>
        <v>2225.0620000000004</v>
      </c>
      <c r="L31" s="45">
        <f t="shared" si="6"/>
        <v>36483.163639999999</v>
      </c>
      <c r="M31" s="50"/>
      <c r="N31" s="84"/>
      <c r="O31" s="49"/>
      <c r="P31" s="108">
        <f t="shared" ref="P31:P36" si="10">+(M31+N31+O31)*L31</f>
        <v>0</v>
      </c>
    </row>
    <row r="32" spans="1:16" x14ac:dyDescent="0.3">
      <c r="A32" s="206"/>
      <c r="B32" s="31" t="s">
        <v>37</v>
      </c>
      <c r="C32" s="24">
        <v>23386.86</v>
      </c>
      <c r="D32" s="59"/>
      <c r="E32" s="25">
        <f t="shared" si="3"/>
        <v>116.88</v>
      </c>
      <c r="F32" s="114"/>
      <c r="G32" s="110">
        <f t="shared" si="4"/>
        <v>1958.65</v>
      </c>
      <c r="H32" s="111">
        <f t="shared" si="8"/>
        <v>25462.39</v>
      </c>
      <c r="I32" s="26">
        <f t="shared" si="1"/>
        <v>5973.476694</v>
      </c>
      <c r="J32" s="26">
        <f t="shared" si="2"/>
        <v>1886.763099</v>
      </c>
      <c r="K32" s="113">
        <f t="shared" si="9"/>
        <v>2164.3031500000002</v>
      </c>
      <c r="L32" s="45">
        <f t="shared" si="6"/>
        <v>35486.932943</v>
      </c>
      <c r="M32" s="50"/>
      <c r="N32" s="84"/>
      <c r="O32" s="49"/>
      <c r="P32" s="107">
        <f t="shared" si="10"/>
        <v>0</v>
      </c>
    </row>
    <row r="33" spans="1:18" x14ac:dyDescent="0.3">
      <c r="A33" s="206"/>
      <c r="B33" s="31" t="s">
        <v>38</v>
      </c>
      <c r="C33" s="24">
        <v>22793.040000000001</v>
      </c>
      <c r="D33" s="59"/>
      <c r="E33" s="25">
        <f t="shared" si="3"/>
        <v>114</v>
      </c>
      <c r="F33" s="114"/>
      <c r="G33" s="110">
        <f t="shared" si="4"/>
        <v>1908.92</v>
      </c>
      <c r="H33" s="111">
        <f t="shared" si="8"/>
        <v>24815.96</v>
      </c>
      <c r="I33" s="26">
        <f t="shared" si="1"/>
        <v>5821.824216</v>
      </c>
      <c r="J33" s="26">
        <f t="shared" si="2"/>
        <v>1838.8626359999998</v>
      </c>
      <c r="K33" s="113">
        <f t="shared" si="9"/>
        <v>2109.3566000000001</v>
      </c>
      <c r="L33" s="45">
        <f t="shared" si="6"/>
        <v>34586.003451999997</v>
      </c>
      <c r="M33" s="50"/>
      <c r="N33" s="84"/>
      <c r="O33" s="49"/>
      <c r="P33" s="107">
        <f t="shared" si="10"/>
        <v>0</v>
      </c>
    </row>
    <row r="34" spans="1:18" x14ac:dyDescent="0.3">
      <c r="A34" s="206"/>
      <c r="B34" s="31" t="s">
        <v>39</v>
      </c>
      <c r="C34" s="24">
        <v>21449.360000000001</v>
      </c>
      <c r="D34" s="59"/>
      <c r="E34" s="25">
        <f t="shared" si="3"/>
        <v>107.28</v>
      </c>
      <c r="F34" s="114"/>
      <c r="G34" s="110">
        <f t="shared" si="4"/>
        <v>1796.39</v>
      </c>
      <c r="H34" s="111">
        <f t="shared" si="8"/>
        <v>23353.03</v>
      </c>
      <c r="I34" s="26">
        <f t="shared" si="1"/>
        <v>5478.6208379999998</v>
      </c>
      <c r="J34" s="26">
        <f t="shared" si="2"/>
        <v>1730.459523</v>
      </c>
      <c r="K34" s="113">
        <f t="shared" si="9"/>
        <v>1985.00755</v>
      </c>
      <c r="L34" s="45">
        <f t="shared" si="6"/>
        <v>32547.117910999998</v>
      </c>
      <c r="M34" s="50"/>
      <c r="N34" s="84"/>
      <c r="O34" s="49"/>
      <c r="P34" s="107">
        <f t="shared" si="10"/>
        <v>0</v>
      </c>
    </row>
    <row r="35" spans="1:18" ht="15" customHeight="1" x14ac:dyDescent="0.3">
      <c r="A35" s="206"/>
      <c r="B35" s="31" t="s">
        <v>40</v>
      </c>
      <c r="C35" s="24">
        <v>20167.03</v>
      </c>
      <c r="D35" s="59"/>
      <c r="E35" s="25">
        <f t="shared" si="3"/>
        <v>100.80000000000001</v>
      </c>
      <c r="F35" s="114"/>
      <c r="G35" s="110">
        <f t="shared" si="4"/>
        <v>1688.99</v>
      </c>
      <c r="H35" s="111">
        <f t="shared" si="8"/>
        <v>21956.82</v>
      </c>
      <c r="I35" s="26">
        <f t="shared" si="1"/>
        <v>5151.0699720000002</v>
      </c>
      <c r="J35" s="26">
        <f t="shared" si="2"/>
        <v>1627.000362</v>
      </c>
      <c r="K35" s="113">
        <f t="shared" si="9"/>
        <v>1866.3297</v>
      </c>
      <c r="L35" s="45">
        <f t="shared" si="6"/>
        <v>30601.220033999998</v>
      </c>
      <c r="M35" s="50"/>
      <c r="N35" s="84"/>
      <c r="O35" s="49"/>
      <c r="P35" s="107">
        <f t="shared" si="10"/>
        <v>0</v>
      </c>
      <c r="R35" s="32"/>
    </row>
    <row r="36" spans="1:18" ht="15" customHeight="1" x14ac:dyDescent="0.3">
      <c r="A36" s="206"/>
      <c r="B36" s="31" t="s">
        <v>41</v>
      </c>
      <c r="C36" s="24">
        <v>19202.04</v>
      </c>
      <c r="D36" s="59"/>
      <c r="E36" s="25">
        <f t="shared" si="3"/>
        <v>96</v>
      </c>
      <c r="F36" s="114"/>
      <c r="G36" s="110">
        <f t="shared" si="4"/>
        <v>1608.17</v>
      </c>
      <c r="H36" s="111">
        <f t="shared" si="8"/>
        <v>20906.21</v>
      </c>
      <c r="I36" s="26">
        <f t="shared" si="1"/>
        <v>4904.5968659999999</v>
      </c>
      <c r="J36" s="26">
        <f t="shared" si="2"/>
        <v>1549.150161</v>
      </c>
      <c r="K36" s="113">
        <f t="shared" si="9"/>
        <v>1777.0278499999999</v>
      </c>
      <c r="L36" s="45">
        <f t="shared" si="6"/>
        <v>29136.984876999999</v>
      </c>
      <c r="M36" s="50"/>
      <c r="N36" s="84"/>
      <c r="O36" s="49"/>
      <c r="P36" s="107">
        <f t="shared" si="10"/>
        <v>0</v>
      </c>
      <c r="R36" s="32"/>
    </row>
    <row r="37" spans="1:18" ht="15" customHeight="1" x14ac:dyDescent="0.3">
      <c r="A37" s="210"/>
      <c r="B37" s="211" t="s">
        <v>91</v>
      </c>
      <c r="C37" s="24"/>
      <c r="D37" s="59"/>
      <c r="E37" s="25"/>
      <c r="F37" s="114"/>
      <c r="G37" s="110"/>
      <c r="H37" s="111"/>
      <c r="I37" s="26">
        <v>0</v>
      </c>
      <c r="J37" s="26">
        <v>0</v>
      </c>
      <c r="K37" s="113"/>
      <c r="L37" s="45">
        <v>1454.3259499999986</v>
      </c>
      <c r="M37" s="53"/>
      <c r="N37" s="212"/>
      <c r="O37" s="53"/>
      <c r="P37" s="108"/>
      <c r="R37" s="32"/>
    </row>
    <row r="38" spans="1:18" ht="15" customHeight="1" x14ac:dyDescent="0.3">
      <c r="A38" s="121"/>
      <c r="B38" s="120"/>
      <c r="C38" s="62"/>
      <c r="D38" s="61"/>
      <c r="E38" s="60"/>
      <c r="F38" s="115"/>
      <c r="G38" s="119"/>
      <c r="H38" s="117"/>
      <c r="I38" s="26">
        <f t="shared" si="1"/>
        <v>0</v>
      </c>
      <c r="J38" s="26">
        <f t="shared" si="2"/>
        <v>0</v>
      </c>
      <c r="K38" s="64"/>
      <c r="L38" s="65"/>
      <c r="M38" s="64"/>
      <c r="N38" s="64"/>
      <c r="O38" s="64"/>
      <c r="P38" s="65"/>
      <c r="R38" s="32"/>
    </row>
    <row r="39" spans="1:18" ht="15" customHeight="1" x14ac:dyDescent="0.3">
      <c r="A39" s="206" t="s">
        <v>43</v>
      </c>
      <c r="B39" s="31" t="s">
        <v>39</v>
      </c>
      <c r="C39" s="24">
        <v>19550.650000000001</v>
      </c>
      <c r="D39" s="59"/>
      <c r="E39" s="25">
        <f t="shared" si="3"/>
        <v>97.800000000000011</v>
      </c>
      <c r="F39" s="114"/>
      <c r="G39" s="110">
        <f t="shared" si="4"/>
        <v>1637.37</v>
      </c>
      <c r="H39" s="111">
        <f>+G39+E39+C39</f>
        <v>21285.82</v>
      </c>
      <c r="I39" s="26">
        <f t="shared" si="1"/>
        <v>4993.6533719999998</v>
      </c>
      <c r="J39" s="26">
        <f t="shared" si="2"/>
        <v>1577.279262</v>
      </c>
      <c r="K39" s="113">
        <f>H39*8.5%</f>
        <v>1809.2947000000001</v>
      </c>
      <c r="L39" s="45">
        <f t="shared" si="6"/>
        <v>29666.047333999999</v>
      </c>
      <c r="M39" s="50"/>
      <c r="N39" s="84"/>
      <c r="O39" s="49"/>
      <c r="P39" s="108">
        <f>+(M39+N39+O39)*L39</f>
        <v>0</v>
      </c>
      <c r="R39" s="32"/>
    </row>
    <row r="40" spans="1:18" x14ac:dyDescent="0.3">
      <c r="A40" s="206"/>
      <c r="B40" s="31" t="s">
        <v>40</v>
      </c>
      <c r="C40" s="24">
        <v>18864.71</v>
      </c>
      <c r="D40" s="59"/>
      <c r="E40" s="25">
        <f t="shared" si="3"/>
        <v>94.320000000000007</v>
      </c>
      <c r="F40" s="114"/>
      <c r="G40" s="110">
        <f t="shared" si="4"/>
        <v>1579.92</v>
      </c>
      <c r="H40" s="111">
        <f>+G40+E40+C40</f>
        <v>20538.95</v>
      </c>
      <c r="I40" s="26">
        <f t="shared" si="1"/>
        <v>4818.4376700000003</v>
      </c>
      <c r="J40" s="26">
        <f t="shared" si="2"/>
        <v>1521.936195</v>
      </c>
      <c r="K40" s="113">
        <f>H40*8.5%</f>
        <v>1745.8107500000001</v>
      </c>
      <c r="L40" s="45">
        <f t="shared" si="6"/>
        <v>28625.134614999999</v>
      </c>
      <c r="M40" s="50"/>
      <c r="N40" s="84"/>
      <c r="O40" s="49"/>
      <c r="P40" s="107">
        <f>+(M40+N40+O40)*L40</f>
        <v>0</v>
      </c>
    </row>
    <row r="41" spans="1:18" x14ac:dyDescent="0.3">
      <c r="A41" s="206"/>
      <c r="B41" s="31" t="s">
        <v>41</v>
      </c>
      <c r="C41" s="24">
        <v>18243.61</v>
      </c>
      <c r="D41" s="59"/>
      <c r="E41" s="25">
        <f t="shared" si="3"/>
        <v>91.199999999999989</v>
      </c>
      <c r="F41" s="114"/>
      <c r="G41" s="110">
        <f t="shared" si="4"/>
        <v>1527.9</v>
      </c>
      <c r="H41" s="111">
        <f>+G41+E41+C41</f>
        <v>19862.71</v>
      </c>
      <c r="I41" s="26">
        <f t="shared" si="1"/>
        <v>4659.7917660000003</v>
      </c>
      <c r="J41" s="26">
        <f t="shared" si="2"/>
        <v>1471.8268109999999</v>
      </c>
      <c r="K41" s="113">
        <f>H41*8.5%</f>
        <v>1688.33035</v>
      </c>
      <c r="L41" s="45">
        <f t="shared" si="6"/>
        <v>27682.658927</v>
      </c>
      <c r="M41" s="50"/>
      <c r="N41" s="84"/>
      <c r="O41" s="49"/>
      <c r="P41" s="107">
        <f>+(M41+N41+O41)*L41</f>
        <v>0</v>
      </c>
    </row>
    <row r="42" spans="1:18" x14ac:dyDescent="0.3">
      <c r="A42" s="70"/>
      <c r="B42" s="69"/>
      <c r="C42" s="61"/>
      <c r="D42" s="60"/>
      <c r="E42" s="63"/>
      <c r="F42" s="63"/>
      <c r="G42" s="61"/>
      <c r="H42" s="64"/>
      <c r="I42" s="64"/>
      <c r="J42" s="64"/>
      <c r="K42" s="64"/>
      <c r="L42" s="64"/>
      <c r="M42" s="68"/>
      <c r="N42" s="68"/>
      <c r="O42" s="68"/>
      <c r="P42" s="68"/>
    </row>
    <row r="43" spans="1:18" ht="33.75" customHeight="1" x14ac:dyDescent="0.3">
      <c r="A43" s="35"/>
      <c r="B43" s="35"/>
      <c r="C43" s="35"/>
      <c r="D43" s="35"/>
      <c r="E43" s="52"/>
      <c r="F43" s="52"/>
      <c r="G43" s="35"/>
      <c r="H43" s="35"/>
      <c r="I43" s="35"/>
      <c r="J43" s="35"/>
      <c r="K43" s="52"/>
      <c r="L43" s="73" t="s">
        <v>44</v>
      </c>
      <c r="M43" s="85">
        <f>+SUM(M10:M41)</f>
        <v>6</v>
      </c>
      <c r="N43" s="85">
        <f>+SUM(N10:N41)</f>
        <v>0</v>
      </c>
      <c r="O43" s="85">
        <f>+SUM(O10:O41)</f>
        <v>0</v>
      </c>
      <c r="P43" s="88">
        <f>+SUM(P10:P41)</f>
        <v>273126.62238399999</v>
      </c>
    </row>
    <row r="44" spans="1:18" x14ac:dyDescent="0.3">
      <c r="A44" s="35"/>
      <c r="B44" s="35"/>
      <c r="C44" s="35"/>
      <c r="D44" s="35"/>
      <c r="E44" s="35"/>
      <c r="F44" s="35"/>
      <c r="G44" s="35"/>
      <c r="H44" s="35"/>
      <c r="I44" s="35"/>
      <c r="J44" s="35"/>
      <c r="K44" s="35"/>
      <c r="L44" s="35"/>
      <c r="O44" s="35"/>
      <c r="P44" s="90" t="s">
        <v>92</v>
      </c>
    </row>
    <row r="45" spans="1:18" ht="48" customHeight="1" x14ac:dyDescent="0.3">
      <c r="A45" s="35"/>
      <c r="B45" s="35"/>
      <c r="C45" s="35"/>
      <c r="D45" s="35"/>
      <c r="E45" s="35"/>
      <c r="F45" s="35"/>
      <c r="G45" s="35"/>
      <c r="H45" s="35"/>
      <c r="I45" s="35"/>
      <c r="J45" s="35"/>
      <c r="K45" s="35"/>
      <c r="L45" s="35"/>
      <c r="N45" s="91"/>
      <c r="O45" s="92" t="s">
        <v>121</v>
      </c>
      <c r="P45" s="218">
        <f>+($L$22*$M$22)+($L$23*$M$23)+($L$24*$M$24)+($L$25*$M$25)+($L$26*$M$26)+($L$27*$M$27)+($L$28*$M$28)+($L$31*$M$31)+($L$32*$M$32)+($L$33*$M$33)+($L$34*$M$34)+($L$35*$M$35)+($L$36*$M$36)+($L$39*$M$39)+($L$40*$M$40)+($L$41*$M$41)+($L$10*$M$10)+($L$11*$M$11)+($L$17*$M$17)+($L$18*$M$18)+($L$19*$M$19)+($L$20*$M$20)</f>
        <v>273126.62238399999</v>
      </c>
    </row>
    <row r="46" spans="1:18" ht="48.75" customHeight="1" x14ac:dyDescent="0.3">
      <c r="A46" s="35"/>
      <c r="B46" s="35"/>
      <c r="C46" s="35"/>
      <c r="D46" s="35"/>
      <c r="E46" s="35"/>
      <c r="F46" s="35"/>
      <c r="G46" s="35"/>
      <c r="I46" s="35"/>
      <c r="J46" s="35"/>
      <c r="K46" s="35"/>
      <c r="L46" s="35"/>
      <c r="N46" s="91"/>
      <c r="O46" s="92" t="s">
        <v>94</v>
      </c>
      <c r="P46" s="218">
        <f>+($L$22*$N$22)+($L$23*$N$23)+($L$24*$N$24)+($L$25*$N$25)+($L$26*$N$26)+($L$27*$N$27)+($L$28*$N$28)+($L$31*$N$31)+($L$32*$N$32)+($L$33*$N$33)+($L$34*$N$34)+($L$35*$N$35)+($L$37*$N$37)+($L$39*$N$39)+($L$40*$N$40)+($L$41*$N$41)+($L$10*$N$10)+($L$11*$N$11)+($L$17*$N$17)+($L$18*$N$18)+($L$19*$N$19)+($L$20*$N$20)+($L$21*$N$21)+($L$29*$N$29)+($L$36*$N$36)</f>
        <v>0</v>
      </c>
    </row>
    <row r="47" spans="1:18" ht="34.5" customHeight="1" x14ac:dyDescent="0.3">
      <c r="F47" s="55"/>
      <c r="G47" s="55"/>
      <c r="H47" s="55"/>
      <c r="I47" s="55"/>
      <c r="J47" s="55"/>
      <c r="K47" s="55"/>
      <c r="L47" s="55"/>
      <c r="N47" s="91"/>
      <c r="O47" s="92" t="s">
        <v>95</v>
      </c>
      <c r="P47" s="219">
        <f>+($L$22*$O$22)+($L$23*$O$23)+($L$24*$O$24)+($L$25*$O$25)+($L$26*$O$26)+($L$27*$O$27)+($L$28*$O$28)+($L$31*$O$31)+($L$32*$O$32)+($L$33*$O$33)+($L$34*$O$34)+($L$35*$O$35)+($L$36*$O$36)+($L$39*$O$39)+($L$40*$O$40)+($L$41*$O$41)+($L$10*$O$10)+($L$11*$O$11)+($L$20*$O$20)+($L$19*$O$19)+($L$18*$O$18)+($L$17*$O$17)</f>
        <v>0</v>
      </c>
    </row>
    <row r="48" spans="1:18" x14ac:dyDescent="0.3">
      <c r="M48" s="91"/>
      <c r="N48" s="91"/>
      <c r="O48" s="91"/>
    </row>
    <row r="50" spans="1:4" x14ac:dyDescent="0.3">
      <c r="A50" s="91" t="s">
        <v>96</v>
      </c>
    </row>
    <row r="51" spans="1:4" x14ac:dyDescent="0.3">
      <c r="A51" s="91"/>
    </row>
    <row r="52" spans="1:4" x14ac:dyDescent="0.3">
      <c r="A52" s="91" t="s">
        <v>97</v>
      </c>
    </row>
    <row r="53" spans="1:4" x14ac:dyDescent="0.3">
      <c r="A53" s="91" t="s">
        <v>98</v>
      </c>
    </row>
    <row r="54" spans="1:4" x14ac:dyDescent="0.3">
      <c r="A54" s="91"/>
    </row>
    <row r="55" spans="1:4" x14ac:dyDescent="0.3">
      <c r="A55" s="91" t="s">
        <v>99</v>
      </c>
    </row>
    <row r="56" spans="1:4" x14ac:dyDescent="0.3">
      <c r="A56" s="91"/>
    </row>
    <row r="57" spans="1:4" x14ac:dyDescent="0.3">
      <c r="A57" s="91" t="s">
        <v>100</v>
      </c>
    </row>
    <row r="58" spans="1:4" x14ac:dyDescent="0.3">
      <c r="A58" s="91"/>
    </row>
    <row r="59" spans="1:4" x14ac:dyDescent="0.3">
      <c r="A59" s="91" t="s">
        <v>101</v>
      </c>
    </row>
    <row r="60" spans="1:4" x14ac:dyDescent="0.3">
      <c r="A60" s="91" t="s">
        <v>102</v>
      </c>
    </row>
    <row r="61" spans="1:4" x14ac:dyDescent="0.3">
      <c r="D61" s="191"/>
    </row>
  </sheetData>
  <sheetProtection selectLockedCells="1" selectUnlockedCells="1"/>
  <mergeCells count="37">
    <mergeCell ref="A1:B1"/>
    <mergeCell ref="A2:B2"/>
    <mergeCell ref="L13:L16"/>
    <mergeCell ref="E13:E16"/>
    <mergeCell ref="J6:J9"/>
    <mergeCell ref="L6:L9"/>
    <mergeCell ref="I1:L1"/>
    <mergeCell ref="K13:K16"/>
    <mergeCell ref="A13:A16"/>
    <mergeCell ref="B13:B16"/>
    <mergeCell ref="C13:C16"/>
    <mergeCell ref="D13:D16"/>
    <mergeCell ref="F13:F16"/>
    <mergeCell ref="G13:G16"/>
    <mergeCell ref="H13:H16"/>
    <mergeCell ref="I13:I16"/>
    <mergeCell ref="J13:J16"/>
    <mergeCell ref="M13:M16"/>
    <mergeCell ref="N13:N16"/>
    <mergeCell ref="P6:P9"/>
    <mergeCell ref="O13:O16"/>
    <mergeCell ref="P13:P16"/>
    <mergeCell ref="M6:M9"/>
    <mergeCell ref="N6:N9"/>
    <mergeCell ref="O6:O9"/>
    <mergeCell ref="I2:L3"/>
    <mergeCell ref="K6:K9"/>
    <mergeCell ref="A5:P5"/>
    <mergeCell ref="A6:A11"/>
    <mergeCell ref="B6:B9"/>
    <mergeCell ref="C6:C9"/>
    <mergeCell ref="D6:D9"/>
    <mergeCell ref="E6:E9"/>
    <mergeCell ref="F6:F9"/>
    <mergeCell ref="G6:G9"/>
    <mergeCell ref="H6:H9"/>
    <mergeCell ref="I6:I9"/>
  </mergeCells>
  <pageMargins left="0.45" right="0.47013888888888888" top="0.62013888888888891" bottom="0.47013888888888888" header="0.51180555555555551" footer="0.51180555555555551"/>
  <pageSetup paperSize="9" scale="73"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Q60"/>
  <sheetViews>
    <sheetView tabSelected="1" topLeftCell="D2" zoomScale="80" zoomScaleNormal="80" workbookViewId="0">
      <selection activeCell="L4" sqref="L4"/>
    </sheetView>
  </sheetViews>
  <sheetFormatPr defaultColWidth="8.5546875" defaultRowHeight="15.6" x14ac:dyDescent="0.3"/>
  <cols>
    <col min="1" max="1" width="15" style="29" customWidth="1"/>
    <col min="2" max="2" width="24.77734375" style="29" customWidth="1"/>
    <col min="3" max="3" width="20.5546875" style="29" customWidth="1"/>
    <col min="4" max="4" width="25.77734375" style="29" customWidth="1"/>
    <col min="5" max="5" width="14.44140625" style="29" customWidth="1"/>
    <col min="6" max="6" width="13.44140625" style="29" customWidth="1"/>
    <col min="7" max="7" width="12.77734375" style="29" customWidth="1"/>
    <col min="8" max="8" width="14" style="29" customWidth="1"/>
    <col min="9" max="9" width="15.77734375" style="29" customWidth="1"/>
    <col min="10" max="10" width="11.77734375" style="29" customWidth="1"/>
    <col min="11" max="11" width="9.44140625" style="29" customWidth="1"/>
    <col min="12" max="12" width="14.21875" style="29" customWidth="1"/>
    <col min="13" max="13" width="12.5546875" style="29" customWidth="1"/>
    <col min="14" max="14" width="17.5546875" style="29" customWidth="1"/>
    <col min="15" max="15" width="12" style="29" customWidth="1"/>
    <col min="16" max="16" width="8.5546875" style="29"/>
    <col min="17" max="17" width="12" style="29" customWidth="1"/>
    <col min="18" max="18" width="11.44140625" style="29" customWidth="1"/>
    <col min="19" max="20" width="12" style="29" customWidth="1"/>
    <col min="21" max="16384" width="8.5546875" style="29"/>
  </cols>
  <sheetData>
    <row r="1" spans="1:17" ht="28.5" customHeight="1" x14ac:dyDescent="0.35">
      <c r="A1" s="298" t="s">
        <v>0</v>
      </c>
      <c r="B1" s="299"/>
      <c r="C1" s="180" t="s">
        <v>1</v>
      </c>
      <c r="D1" s="181"/>
      <c r="E1" s="36"/>
      <c r="F1" s="35"/>
      <c r="G1" s="35"/>
      <c r="H1" s="35"/>
      <c r="I1" s="259" t="s">
        <v>50</v>
      </c>
      <c r="J1" s="260"/>
      <c r="K1" s="260"/>
      <c r="L1" s="261"/>
      <c r="M1" s="276"/>
      <c r="N1" s="276"/>
    </row>
    <row r="2" spans="1:17" ht="13.5" customHeight="1" x14ac:dyDescent="0.3">
      <c r="A2" s="300" t="s">
        <v>3</v>
      </c>
      <c r="B2" s="301"/>
      <c r="C2" s="176"/>
      <c r="D2" s="182"/>
      <c r="E2" s="36"/>
      <c r="F2" s="35"/>
      <c r="G2" s="35"/>
      <c r="H2" s="37"/>
      <c r="I2" s="320" t="s">
        <v>4</v>
      </c>
      <c r="J2" s="321"/>
      <c r="K2" s="321"/>
      <c r="L2" s="322"/>
      <c r="M2" s="35"/>
      <c r="N2" s="35"/>
    </row>
    <row r="3" spans="1:17" ht="22.05" customHeight="1" thickBot="1" x14ac:dyDescent="0.35">
      <c r="A3" s="183" t="s">
        <v>5</v>
      </c>
      <c r="B3" s="184" t="s">
        <v>6</v>
      </c>
      <c r="C3" s="184" t="s">
        <v>7</v>
      </c>
      <c r="D3" s="189" t="s">
        <v>8</v>
      </c>
      <c r="E3" s="36"/>
      <c r="F3" s="35"/>
      <c r="G3" s="35"/>
      <c r="H3" s="35"/>
      <c r="I3" s="323"/>
      <c r="J3" s="324"/>
      <c r="K3" s="324"/>
      <c r="L3" s="325"/>
      <c r="M3" s="35"/>
      <c r="N3" s="35"/>
    </row>
    <row r="4" spans="1:17" ht="16.5" customHeight="1" x14ac:dyDescent="0.3">
      <c r="A4" s="38"/>
      <c r="B4" s="38"/>
      <c r="C4" s="38"/>
      <c r="D4" s="38"/>
      <c r="E4" s="38"/>
      <c r="F4" s="38"/>
      <c r="G4" s="38"/>
      <c r="H4" s="38"/>
      <c r="I4" s="38"/>
      <c r="J4" s="38"/>
      <c r="K4" s="38"/>
      <c r="L4" s="38"/>
      <c r="M4" s="39"/>
      <c r="N4" s="39"/>
    </row>
    <row r="5" spans="1:17" ht="19.5" customHeight="1" x14ac:dyDescent="0.3">
      <c r="A5" s="277" t="s">
        <v>122</v>
      </c>
      <c r="B5" s="277"/>
      <c r="C5" s="277"/>
      <c r="D5" s="277"/>
      <c r="E5" s="326"/>
      <c r="F5" s="326"/>
      <c r="G5" s="277"/>
      <c r="H5" s="277"/>
      <c r="I5" s="277"/>
      <c r="J5" s="277"/>
      <c r="K5" s="277"/>
      <c r="L5" s="277"/>
      <c r="M5" s="277"/>
      <c r="N5" s="277"/>
    </row>
    <row r="6" spans="1:17" ht="15" customHeight="1" x14ac:dyDescent="0.3">
      <c r="A6" s="268" t="s">
        <v>10</v>
      </c>
      <c r="B6" s="241" t="s">
        <v>11</v>
      </c>
      <c r="C6" s="241" t="s">
        <v>12</v>
      </c>
      <c r="D6" s="241" t="s">
        <v>13</v>
      </c>
      <c r="E6" s="241" t="s">
        <v>14</v>
      </c>
      <c r="F6" s="241" t="s">
        <v>15</v>
      </c>
      <c r="G6" s="241" t="s">
        <v>16</v>
      </c>
      <c r="H6" s="265" t="s">
        <v>17</v>
      </c>
      <c r="I6" s="241" t="s">
        <v>18</v>
      </c>
      <c r="J6" s="241" t="s">
        <v>19</v>
      </c>
      <c r="K6" s="241" t="s">
        <v>20</v>
      </c>
      <c r="L6" s="253" t="s">
        <v>21</v>
      </c>
      <c r="M6" s="279" t="s">
        <v>123</v>
      </c>
      <c r="N6" s="283" t="s">
        <v>124</v>
      </c>
    </row>
    <row r="7" spans="1:17" ht="15" customHeight="1" x14ac:dyDescent="0.3">
      <c r="A7" s="269"/>
      <c r="B7" s="242"/>
      <c r="C7" s="242"/>
      <c r="D7" s="242"/>
      <c r="E7" s="242"/>
      <c r="F7" s="242"/>
      <c r="G7" s="242"/>
      <c r="H7" s="266"/>
      <c r="I7" s="242"/>
      <c r="J7" s="242"/>
      <c r="K7" s="242"/>
      <c r="L7" s="254"/>
      <c r="M7" s="280"/>
      <c r="N7" s="283"/>
    </row>
    <row r="8" spans="1:17" ht="15" customHeight="1" x14ac:dyDescent="0.3">
      <c r="A8" s="269"/>
      <c r="B8" s="242"/>
      <c r="C8" s="242"/>
      <c r="D8" s="242"/>
      <c r="E8" s="242"/>
      <c r="F8" s="242"/>
      <c r="G8" s="242"/>
      <c r="H8" s="266"/>
      <c r="I8" s="242"/>
      <c r="J8" s="242"/>
      <c r="K8" s="242"/>
      <c r="L8" s="254"/>
      <c r="M8" s="280"/>
      <c r="N8" s="283"/>
    </row>
    <row r="9" spans="1:17" ht="21.75" customHeight="1" x14ac:dyDescent="0.3">
      <c r="A9" s="269"/>
      <c r="B9" s="243"/>
      <c r="C9" s="242"/>
      <c r="D9" s="243"/>
      <c r="E9" s="243"/>
      <c r="F9" s="243"/>
      <c r="G9" s="243"/>
      <c r="H9" s="267"/>
      <c r="I9" s="243"/>
      <c r="J9" s="243"/>
      <c r="K9" s="243"/>
      <c r="L9" s="255"/>
      <c r="M9" s="281"/>
      <c r="N9" s="283"/>
      <c r="O9" s="33"/>
    </row>
    <row r="10" spans="1:17" ht="18" customHeight="1" x14ac:dyDescent="0.3">
      <c r="A10" s="269"/>
      <c r="B10" s="20" t="s">
        <v>147</v>
      </c>
      <c r="C10" s="24">
        <f>4623.3*12</f>
        <v>55479.600000000006</v>
      </c>
      <c r="D10" s="19"/>
      <c r="E10" s="8">
        <f>23.12*12</f>
        <v>277.44</v>
      </c>
      <c r="F10" s="8"/>
      <c r="G10" s="7">
        <f>(C10+E10)/12</f>
        <v>4646.420000000001</v>
      </c>
      <c r="H10" s="9">
        <f>SUM(C10:G10)</f>
        <v>60403.460000000006</v>
      </c>
      <c r="I10" s="7">
        <f>H10*23.46%</f>
        <v>14170.651716000002</v>
      </c>
      <c r="J10" s="7">
        <f>H10*7.41%</f>
        <v>4475.8963860000003</v>
      </c>
      <c r="K10" s="7">
        <f>H10*8.5%</f>
        <v>5134.294100000001</v>
      </c>
      <c r="L10" s="10">
        <f>+H10+I10+J10+K10</f>
        <v>84184.302202000021</v>
      </c>
      <c r="M10" s="11"/>
      <c r="N10" s="12">
        <f>+M10*L10</f>
        <v>0</v>
      </c>
      <c r="O10" s="33"/>
    </row>
    <row r="11" spans="1:17" ht="18" customHeight="1" x14ac:dyDescent="0.3">
      <c r="A11" s="270"/>
      <c r="B11" s="20" t="s">
        <v>25</v>
      </c>
      <c r="C11" s="24">
        <f>3616.6*12</f>
        <v>43399.199999999997</v>
      </c>
      <c r="D11" s="21"/>
      <c r="E11" s="13">
        <f>18.08*12</f>
        <v>216.95999999999998</v>
      </c>
      <c r="F11" s="13"/>
      <c r="G11" s="7">
        <f>(C11+E11)/12</f>
        <v>3634.68</v>
      </c>
      <c r="H11" s="9">
        <f>SUM(C11:G11)</f>
        <v>47250.84</v>
      </c>
      <c r="I11" s="7">
        <f>H11*23.46%</f>
        <v>11085.047063999998</v>
      </c>
      <c r="J11" s="7">
        <f>H11*7.41%</f>
        <v>3501.2872439999996</v>
      </c>
      <c r="K11" s="7">
        <f>H11*8.5%</f>
        <v>4016.3213999999998</v>
      </c>
      <c r="L11" s="10">
        <f>+H11+I11+J11+K11</f>
        <v>65853.495707999988</v>
      </c>
      <c r="M11" s="14">
        <v>1</v>
      </c>
      <c r="N11" s="12">
        <f>+M11*L11</f>
        <v>65853.495707999988</v>
      </c>
      <c r="O11" s="34"/>
      <c r="Q11" s="30"/>
    </row>
    <row r="12" spans="1:17" ht="14.25" customHeight="1" x14ac:dyDescent="0.3">
      <c r="A12" s="40"/>
      <c r="B12" s="41"/>
      <c r="C12" s="42"/>
      <c r="D12" s="43"/>
      <c r="E12" s="43"/>
      <c r="F12" s="43"/>
      <c r="G12" s="43"/>
      <c r="H12" s="43"/>
      <c r="I12" s="43"/>
      <c r="J12" s="43"/>
      <c r="K12" s="43"/>
      <c r="L12" s="43"/>
      <c r="M12" s="44"/>
      <c r="N12" s="43"/>
      <c r="O12" s="34"/>
      <c r="P12" s="30"/>
      <c r="Q12" s="30"/>
    </row>
    <row r="13" spans="1:17" ht="15" customHeight="1" x14ac:dyDescent="0.3">
      <c r="A13" s="268" t="s">
        <v>26</v>
      </c>
      <c r="B13" s="286" t="s">
        <v>125</v>
      </c>
      <c r="C13" s="241" t="s">
        <v>28</v>
      </c>
      <c r="D13" s="244"/>
      <c r="E13" s="241" t="s">
        <v>14</v>
      </c>
      <c r="F13" s="241" t="s">
        <v>15</v>
      </c>
      <c r="G13" s="241" t="s">
        <v>16</v>
      </c>
      <c r="H13" s="265" t="s">
        <v>17</v>
      </c>
      <c r="I13" s="241" t="s">
        <v>18</v>
      </c>
      <c r="J13" s="241" t="s">
        <v>19</v>
      </c>
      <c r="K13" s="241" t="s">
        <v>20</v>
      </c>
      <c r="L13" s="282" t="s">
        <v>21</v>
      </c>
      <c r="M13" s="279" t="s">
        <v>126</v>
      </c>
      <c r="N13" s="283" t="s">
        <v>124</v>
      </c>
      <c r="O13" s="34"/>
      <c r="P13" s="30"/>
      <c r="Q13" s="30"/>
    </row>
    <row r="14" spans="1:17" ht="15" customHeight="1" x14ac:dyDescent="0.3">
      <c r="A14" s="269"/>
      <c r="B14" s="287"/>
      <c r="C14" s="242"/>
      <c r="D14" s="245"/>
      <c r="E14" s="242"/>
      <c r="F14" s="242"/>
      <c r="G14" s="242"/>
      <c r="H14" s="266"/>
      <c r="I14" s="242"/>
      <c r="J14" s="242"/>
      <c r="K14" s="242"/>
      <c r="L14" s="282"/>
      <c r="M14" s="280"/>
      <c r="N14" s="283"/>
      <c r="P14" s="30"/>
      <c r="Q14" s="30"/>
    </row>
    <row r="15" spans="1:17" ht="15" customHeight="1" x14ac:dyDescent="0.3">
      <c r="A15" s="269"/>
      <c r="B15" s="287"/>
      <c r="C15" s="242"/>
      <c r="D15" s="245"/>
      <c r="E15" s="242"/>
      <c r="F15" s="242"/>
      <c r="G15" s="242"/>
      <c r="H15" s="266"/>
      <c r="I15" s="242"/>
      <c r="J15" s="242"/>
      <c r="K15" s="242"/>
      <c r="L15" s="282"/>
      <c r="M15" s="280"/>
      <c r="N15" s="283"/>
    </row>
    <row r="16" spans="1:17" ht="63.75" customHeight="1" x14ac:dyDescent="0.3">
      <c r="A16" s="270"/>
      <c r="B16" s="288"/>
      <c r="C16" s="243"/>
      <c r="D16" s="246"/>
      <c r="E16" s="243"/>
      <c r="F16" s="243"/>
      <c r="G16" s="243"/>
      <c r="H16" s="267"/>
      <c r="I16" s="243"/>
      <c r="J16" s="243"/>
      <c r="K16" s="243"/>
      <c r="L16" s="282"/>
      <c r="M16" s="281"/>
      <c r="N16" s="283"/>
      <c r="Q16" s="30"/>
    </row>
    <row r="17" spans="1:14" x14ac:dyDescent="0.3">
      <c r="A17" s="268" t="s">
        <v>31</v>
      </c>
      <c r="B17" s="23" t="s">
        <v>32</v>
      </c>
      <c r="C17" s="26">
        <v>44674.87</v>
      </c>
      <c r="D17" s="58"/>
      <c r="E17" s="25">
        <f>+ROUND(C17/12*0.005,2)*12</f>
        <v>223.32</v>
      </c>
      <c r="F17" s="109"/>
      <c r="G17" s="110">
        <f>+ROUND((C17+E17+F17)/12,2)</f>
        <v>3741.52</v>
      </c>
      <c r="H17" s="111">
        <f t="shared" ref="H17:H27" si="0">+G17+E17+C17</f>
        <v>48639.710000000006</v>
      </c>
      <c r="I17" s="26">
        <f>H17*23.46%</f>
        <v>11410.875966000001</v>
      </c>
      <c r="J17" s="26">
        <f>H17*7.41%</f>
        <v>3604.2025110000004</v>
      </c>
      <c r="K17" s="113">
        <f>H17*8.5%</f>
        <v>4134.3753500000012</v>
      </c>
      <c r="L17" s="45">
        <f>+H17+I17+J17+K17</f>
        <v>67789.163827000011</v>
      </c>
      <c r="M17" s="46"/>
      <c r="N17" s="12">
        <f>+M17*L17</f>
        <v>0</v>
      </c>
    </row>
    <row r="18" spans="1:14" x14ac:dyDescent="0.3">
      <c r="A18" s="269"/>
      <c r="B18" s="23" t="s">
        <v>33</v>
      </c>
      <c r="C18" s="26">
        <v>40560.15</v>
      </c>
      <c r="D18" s="58"/>
      <c r="E18" s="25">
        <f>+ROUND(C18/12*0.005,2)*12</f>
        <v>202.79999999999998</v>
      </c>
      <c r="F18" s="109"/>
      <c r="G18" s="110">
        <f>+ROUND((C18+E18+F18)/12,2)</f>
        <v>3396.91</v>
      </c>
      <c r="H18" s="111">
        <f t="shared" si="0"/>
        <v>44159.86</v>
      </c>
      <c r="I18" s="26">
        <f t="shared" ref="I18:I38" si="1">H18*23.46%</f>
        <v>10359.903156</v>
      </c>
      <c r="J18" s="26">
        <f t="shared" ref="J18:J38" si="2">H18*7.41%</f>
        <v>3272.2456259999999</v>
      </c>
      <c r="K18" s="113">
        <f>H18*8.5%</f>
        <v>3753.5881000000004</v>
      </c>
      <c r="L18" s="45">
        <f>+H18+I18+J18+K18</f>
        <v>61545.596882000005</v>
      </c>
      <c r="M18" s="46"/>
      <c r="N18" s="12">
        <f>+M18*L18</f>
        <v>0</v>
      </c>
    </row>
    <row r="19" spans="1:14" x14ac:dyDescent="0.3">
      <c r="A19" s="269"/>
      <c r="B19" s="23" t="s">
        <v>34</v>
      </c>
      <c r="C19" s="26">
        <v>34480.639999999999</v>
      </c>
      <c r="D19" s="58"/>
      <c r="E19" s="25">
        <f>+ROUND(C19/12*0.005,2)*12</f>
        <v>172.44</v>
      </c>
      <c r="F19" s="109"/>
      <c r="G19" s="110">
        <f>+ROUND((C19+E19+F19)/12,2)</f>
        <v>2887.76</v>
      </c>
      <c r="H19" s="111">
        <f t="shared" si="0"/>
        <v>37540.839999999997</v>
      </c>
      <c r="I19" s="26">
        <f t="shared" si="1"/>
        <v>8807.081064</v>
      </c>
      <c r="J19" s="26">
        <f t="shared" si="2"/>
        <v>2781.7762439999997</v>
      </c>
      <c r="K19" s="113">
        <f>H19*8.5%</f>
        <v>3190.9713999999999</v>
      </c>
      <c r="L19" s="45">
        <f>+H19+I19+J19+K19</f>
        <v>52320.668707999997</v>
      </c>
      <c r="M19" s="46"/>
      <c r="N19" s="12">
        <f>+M19*L19</f>
        <v>0</v>
      </c>
    </row>
    <row r="20" spans="1:14" x14ac:dyDescent="0.3">
      <c r="A20" s="270"/>
      <c r="B20" s="23" t="s">
        <v>35</v>
      </c>
      <c r="C20" s="26">
        <v>32491.32</v>
      </c>
      <c r="D20" s="58"/>
      <c r="E20" s="25">
        <f>+ROUND(C20/12*0.005,2)*12</f>
        <v>162.47999999999999</v>
      </c>
      <c r="F20" s="109"/>
      <c r="G20" s="110">
        <f>+ROUND((C20+E20+F20)/12,2)</f>
        <v>2721.15</v>
      </c>
      <c r="H20" s="111">
        <f t="shared" si="0"/>
        <v>35374.949999999997</v>
      </c>
      <c r="I20" s="26">
        <f t="shared" si="1"/>
        <v>8298.9632700000002</v>
      </c>
      <c r="J20" s="26">
        <f t="shared" si="2"/>
        <v>2621.2837949999998</v>
      </c>
      <c r="K20" s="113">
        <f>H20*8.5%</f>
        <v>3006.87075</v>
      </c>
      <c r="L20" s="45">
        <f>+H20+I20+J20+K20</f>
        <v>49302.067815000002</v>
      </c>
      <c r="M20" s="46">
        <v>1</v>
      </c>
      <c r="N20" s="12">
        <f>+M20*L20</f>
        <v>49302.067815000002</v>
      </c>
    </row>
    <row r="21" spans="1:14" ht="15.75" customHeight="1" x14ac:dyDescent="0.3">
      <c r="A21" s="268" t="s">
        <v>36</v>
      </c>
      <c r="B21" s="23" t="s">
        <v>34</v>
      </c>
      <c r="C21" s="24">
        <v>33614.480000000003</v>
      </c>
      <c r="D21" s="58"/>
      <c r="E21" s="25">
        <f>+ROUND(C21/12*0.005,2)*12</f>
        <v>168.12</v>
      </c>
      <c r="F21" s="109"/>
      <c r="G21" s="110">
        <f>+ROUND((C21+E21+F21)/12,2)</f>
        <v>2815.22</v>
      </c>
      <c r="H21" s="111">
        <f t="shared" si="0"/>
        <v>36597.82</v>
      </c>
      <c r="I21" s="26">
        <f t="shared" si="1"/>
        <v>8585.8485720000008</v>
      </c>
      <c r="J21" s="26">
        <f t="shared" si="2"/>
        <v>2711.8984620000001</v>
      </c>
      <c r="K21" s="113">
        <f>H21*8.5%</f>
        <v>3110.8147000000004</v>
      </c>
      <c r="L21" s="45">
        <f>+H21+I21+J21+K21</f>
        <v>51006.381734000002</v>
      </c>
      <c r="M21" s="46"/>
      <c r="N21" s="12">
        <f t="shared" ref="N21:N38" si="3">+M21*L21</f>
        <v>0</v>
      </c>
    </row>
    <row r="22" spans="1:14" x14ac:dyDescent="0.3">
      <c r="A22" s="269"/>
      <c r="B22" s="23" t="s">
        <v>35</v>
      </c>
      <c r="C22" s="24">
        <v>31641</v>
      </c>
      <c r="D22" s="58"/>
      <c r="E22" s="25">
        <f t="shared" ref="E22:E38" si="4">+ROUND(C22/12*0.005,2)*12</f>
        <v>158.16</v>
      </c>
      <c r="F22" s="109"/>
      <c r="G22" s="110">
        <f t="shared" ref="G22:G38" si="5">+ROUND((C22+E22+F22)/12,2)</f>
        <v>2649.93</v>
      </c>
      <c r="H22" s="111">
        <f t="shared" si="0"/>
        <v>34449.089999999997</v>
      </c>
      <c r="I22" s="26">
        <f t="shared" si="1"/>
        <v>8081.7565139999997</v>
      </c>
      <c r="J22" s="26">
        <f t="shared" si="2"/>
        <v>2552.6775689999995</v>
      </c>
      <c r="K22" s="113">
        <f t="shared" ref="K22:K27" si="6">H22*8.5%</f>
        <v>2928.17265</v>
      </c>
      <c r="L22" s="45">
        <f t="shared" ref="L22:L38" si="7">+H22+I22+J22+K22</f>
        <v>48011.696732999997</v>
      </c>
      <c r="M22" s="46"/>
      <c r="N22" s="12">
        <f t="shared" si="3"/>
        <v>0</v>
      </c>
    </row>
    <row r="23" spans="1:14" x14ac:dyDescent="0.3">
      <c r="A23" s="269"/>
      <c r="B23" s="23" t="s">
        <v>37</v>
      </c>
      <c r="C23" s="24">
        <v>29655.67</v>
      </c>
      <c r="D23" s="58"/>
      <c r="E23" s="25">
        <f t="shared" si="4"/>
        <v>148.32</v>
      </c>
      <c r="F23" s="109"/>
      <c r="G23" s="110">
        <f t="shared" si="5"/>
        <v>2483.67</v>
      </c>
      <c r="H23" s="111">
        <f t="shared" si="0"/>
        <v>32287.66</v>
      </c>
      <c r="I23" s="26">
        <f t="shared" si="1"/>
        <v>7574.6850359999999</v>
      </c>
      <c r="J23" s="26">
        <f t="shared" si="2"/>
        <v>2392.5156059999999</v>
      </c>
      <c r="K23" s="113">
        <f t="shared" si="6"/>
        <v>2744.4511000000002</v>
      </c>
      <c r="L23" s="45">
        <f t="shared" si="7"/>
        <v>44999.311741999998</v>
      </c>
      <c r="M23" s="46"/>
      <c r="N23" s="12">
        <f t="shared" si="3"/>
        <v>0</v>
      </c>
    </row>
    <row r="24" spans="1:14" x14ac:dyDescent="0.3">
      <c r="A24" s="269"/>
      <c r="B24" s="23" t="s">
        <v>38</v>
      </c>
      <c r="C24" s="24">
        <v>27858.84</v>
      </c>
      <c r="D24" s="59"/>
      <c r="E24" s="25">
        <f t="shared" si="4"/>
        <v>139.32</v>
      </c>
      <c r="F24" s="114"/>
      <c r="G24" s="110">
        <f t="shared" si="5"/>
        <v>2333.1799999999998</v>
      </c>
      <c r="H24" s="111">
        <f t="shared" si="0"/>
        <v>30331.34</v>
      </c>
      <c r="I24" s="26">
        <f t="shared" si="1"/>
        <v>7115.7323640000004</v>
      </c>
      <c r="J24" s="26">
        <f t="shared" si="2"/>
        <v>2247.5522940000001</v>
      </c>
      <c r="K24" s="113">
        <f t="shared" si="6"/>
        <v>2578.1639</v>
      </c>
      <c r="L24" s="45">
        <f t="shared" si="7"/>
        <v>42272.788558</v>
      </c>
      <c r="M24" s="46"/>
      <c r="N24" s="12">
        <f t="shared" si="3"/>
        <v>0</v>
      </c>
    </row>
    <row r="25" spans="1:14" x14ac:dyDescent="0.3">
      <c r="A25" s="269"/>
      <c r="B25" s="23" t="s">
        <v>39</v>
      </c>
      <c r="C25" s="24">
        <v>25373.64</v>
      </c>
      <c r="D25" s="59"/>
      <c r="E25" s="25">
        <f t="shared" si="4"/>
        <v>126.84</v>
      </c>
      <c r="F25" s="114"/>
      <c r="G25" s="110">
        <f t="shared" si="5"/>
        <v>2125.04</v>
      </c>
      <c r="H25" s="111">
        <f t="shared" si="0"/>
        <v>27625.52</v>
      </c>
      <c r="I25" s="26">
        <f t="shared" si="1"/>
        <v>6480.9469920000001</v>
      </c>
      <c r="J25" s="26">
        <f t="shared" si="2"/>
        <v>2047.0510320000001</v>
      </c>
      <c r="K25" s="113">
        <f t="shared" si="6"/>
        <v>2348.1692000000003</v>
      </c>
      <c r="L25" s="45">
        <f t="shared" si="7"/>
        <v>38501.687224000008</v>
      </c>
      <c r="M25" s="46"/>
      <c r="N25" s="12">
        <f t="shared" si="3"/>
        <v>0</v>
      </c>
    </row>
    <row r="26" spans="1:14" x14ac:dyDescent="0.3">
      <c r="A26" s="269"/>
      <c r="B26" s="23" t="s">
        <v>40</v>
      </c>
      <c r="C26" s="24">
        <v>24104.21</v>
      </c>
      <c r="D26" s="59"/>
      <c r="E26" s="25">
        <f t="shared" si="4"/>
        <v>120.47999999999999</v>
      </c>
      <c r="F26" s="114"/>
      <c r="G26" s="110">
        <f t="shared" si="5"/>
        <v>2018.72</v>
      </c>
      <c r="H26" s="111">
        <f t="shared" si="0"/>
        <v>26243.41</v>
      </c>
      <c r="I26" s="26">
        <f t="shared" si="1"/>
        <v>6156.7039860000004</v>
      </c>
      <c r="J26" s="26">
        <f t="shared" si="2"/>
        <v>1944.636681</v>
      </c>
      <c r="K26" s="113">
        <f t="shared" si="6"/>
        <v>2230.6898500000002</v>
      </c>
      <c r="L26" s="45">
        <f t="shared" si="7"/>
        <v>36575.440517000003</v>
      </c>
      <c r="M26" s="46"/>
      <c r="N26" s="12">
        <f t="shared" si="3"/>
        <v>0</v>
      </c>
    </row>
    <row r="27" spans="1:14" x14ac:dyDescent="0.3">
      <c r="A27" s="269"/>
      <c r="B27" s="23" t="s">
        <v>41</v>
      </c>
      <c r="C27" s="24">
        <v>23299.78</v>
      </c>
      <c r="D27" s="59"/>
      <c r="E27" s="25">
        <f t="shared" si="4"/>
        <v>116.52000000000001</v>
      </c>
      <c r="F27" s="114"/>
      <c r="G27" s="110">
        <f t="shared" si="5"/>
        <v>1951.36</v>
      </c>
      <c r="H27" s="111">
        <f t="shared" si="0"/>
        <v>25367.66</v>
      </c>
      <c r="I27" s="26">
        <f t="shared" si="1"/>
        <v>5951.2530360000001</v>
      </c>
      <c r="J27" s="26">
        <f t="shared" si="2"/>
        <v>1879.743606</v>
      </c>
      <c r="K27" s="113">
        <f t="shared" si="6"/>
        <v>2156.2511</v>
      </c>
      <c r="L27" s="45">
        <f t="shared" si="7"/>
        <v>35354.907742000003</v>
      </c>
      <c r="M27" s="46">
        <v>2</v>
      </c>
      <c r="N27" s="12">
        <f t="shared" si="3"/>
        <v>70709.815484000006</v>
      </c>
    </row>
    <row r="28" spans="1:14" x14ac:dyDescent="0.3">
      <c r="A28" s="121"/>
      <c r="B28" s="69"/>
      <c r="C28" s="61"/>
      <c r="D28" s="60"/>
      <c r="E28" s="63"/>
      <c r="F28" s="115"/>
      <c r="G28" s="116"/>
      <c r="H28" s="117"/>
      <c r="I28" s="167"/>
      <c r="J28" s="167"/>
      <c r="K28" s="118"/>
      <c r="L28" s="126"/>
      <c r="M28" s="65"/>
      <c r="N28" s="65"/>
    </row>
    <row r="29" spans="1:14" ht="17.100000000000001" customHeight="1" x14ac:dyDescent="0.3">
      <c r="A29" s="269" t="s">
        <v>42</v>
      </c>
      <c r="B29" s="31" t="s">
        <v>35</v>
      </c>
      <c r="C29" s="24">
        <v>24043.33</v>
      </c>
      <c r="D29" s="59"/>
      <c r="E29" s="25">
        <f t="shared" si="4"/>
        <v>120.24</v>
      </c>
      <c r="F29" s="114"/>
      <c r="G29" s="110">
        <f t="shared" si="5"/>
        <v>2013.63</v>
      </c>
      <c r="H29" s="111">
        <f t="shared" ref="H29:H34" si="8">+G29+E29+C29</f>
        <v>26177.200000000001</v>
      </c>
      <c r="I29" s="26">
        <f t="shared" si="1"/>
        <v>6141.17112</v>
      </c>
      <c r="J29" s="26">
        <f t="shared" si="2"/>
        <v>1939.7305200000001</v>
      </c>
      <c r="K29" s="113">
        <f t="shared" ref="K29:K34" si="9">H29*8.5%</f>
        <v>2225.0620000000004</v>
      </c>
      <c r="L29" s="45">
        <f t="shared" si="7"/>
        <v>36483.163639999999</v>
      </c>
      <c r="M29" s="46"/>
      <c r="N29" s="12">
        <f t="shared" si="3"/>
        <v>0</v>
      </c>
    </row>
    <row r="30" spans="1:14" x14ac:dyDescent="0.3">
      <c r="A30" s="269"/>
      <c r="B30" s="31" t="s">
        <v>37</v>
      </c>
      <c r="C30" s="24">
        <v>23386.86</v>
      </c>
      <c r="D30" s="59"/>
      <c r="E30" s="25">
        <f t="shared" si="4"/>
        <v>116.88</v>
      </c>
      <c r="F30" s="114"/>
      <c r="G30" s="110">
        <f t="shared" si="5"/>
        <v>1958.65</v>
      </c>
      <c r="H30" s="111">
        <f t="shared" si="8"/>
        <v>25462.39</v>
      </c>
      <c r="I30" s="26">
        <f t="shared" si="1"/>
        <v>5973.476694</v>
      </c>
      <c r="J30" s="26">
        <f t="shared" si="2"/>
        <v>1886.763099</v>
      </c>
      <c r="K30" s="113">
        <f t="shared" si="9"/>
        <v>2164.3031500000002</v>
      </c>
      <c r="L30" s="45">
        <f t="shared" si="7"/>
        <v>35486.932943</v>
      </c>
      <c r="M30" s="46"/>
      <c r="N30" s="12">
        <f t="shared" si="3"/>
        <v>0</v>
      </c>
    </row>
    <row r="31" spans="1:14" x14ac:dyDescent="0.3">
      <c r="A31" s="269"/>
      <c r="B31" s="31" t="s">
        <v>38</v>
      </c>
      <c r="C31" s="24">
        <v>22793.040000000001</v>
      </c>
      <c r="D31" s="59"/>
      <c r="E31" s="25">
        <f t="shared" si="4"/>
        <v>114</v>
      </c>
      <c r="F31" s="114"/>
      <c r="G31" s="110">
        <f t="shared" si="5"/>
        <v>1908.92</v>
      </c>
      <c r="H31" s="111">
        <f t="shared" si="8"/>
        <v>24815.96</v>
      </c>
      <c r="I31" s="26">
        <f t="shared" si="1"/>
        <v>5821.824216</v>
      </c>
      <c r="J31" s="26">
        <f t="shared" si="2"/>
        <v>1838.8626359999998</v>
      </c>
      <c r="K31" s="113">
        <f t="shared" si="9"/>
        <v>2109.3566000000001</v>
      </c>
      <c r="L31" s="45">
        <f t="shared" si="7"/>
        <v>34586.003451999997</v>
      </c>
      <c r="M31" s="46">
        <v>1</v>
      </c>
      <c r="N31" s="12">
        <f t="shared" si="3"/>
        <v>34586.003451999997</v>
      </c>
    </row>
    <row r="32" spans="1:14" x14ac:dyDescent="0.3">
      <c r="A32" s="269"/>
      <c r="B32" s="31" t="s">
        <v>39</v>
      </c>
      <c r="C32" s="24">
        <v>21449.360000000001</v>
      </c>
      <c r="D32" s="59"/>
      <c r="E32" s="25">
        <f t="shared" si="4"/>
        <v>107.28</v>
      </c>
      <c r="F32" s="114"/>
      <c r="G32" s="110">
        <f t="shared" si="5"/>
        <v>1796.39</v>
      </c>
      <c r="H32" s="111">
        <f t="shared" si="8"/>
        <v>23353.03</v>
      </c>
      <c r="I32" s="26">
        <f t="shared" si="1"/>
        <v>5478.6208379999998</v>
      </c>
      <c r="J32" s="26">
        <f t="shared" si="2"/>
        <v>1730.459523</v>
      </c>
      <c r="K32" s="113">
        <f t="shared" si="9"/>
        <v>1985.00755</v>
      </c>
      <c r="L32" s="45">
        <f t="shared" si="7"/>
        <v>32547.117910999998</v>
      </c>
      <c r="M32" s="46"/>
      <c r="N32" s="12">
        <f t="shared" si="3"/>
        <v>0</v>
      </c>
    </row>
    <row r="33" spans="1:17" ht="15" customHeight="1" x14ac:dyDescent="0.3">
      <c r="A33" s="269"/>
      <c r="B33" s="31" t="s">
        <v>40</v>
      </c>
      <c r="C33" s="24">
        <v>20167.03</v>
      </c>
      <c r="D33" s="59"/>
      <c r="E33" s="25">
        <f t="shared" si="4"/>
        <v>100.80000000000001</v>
      </c>
      <c r="F33" s="114"/>
      <c r="G33" s="110">
        <f t="shared" si="5"/>
        <v>1688.99</v>
      </c>
      <c r="H33" s="111">
        <f t="shared" si="8"/>
        <v>21956.82</v>
      </c>
      <c r="I33" s="26">
        <f t="shared" si="1"/>
        <v>5151.0699720000002</v>
      </c>
      <c r="J33" s="26">
        <f t="shared" si="2"/>
        <v>1627.000362</v>
      </c>
      <c r="K33" s="113">
        <f t="shared" si="9"/>
        <v>1866.3297</v>
      </c>
      <c r="L33" s="45">
        <f t="shared" si="7"/>
        <v>30601.220033999998</v>
      </c>
      <c r="M33" s="46"/>
      <c r="N33" s="12">
        <f t="shared" si="3"/>
        <v>0</v>
      </c>
      <c r="Q33" s="32"/>
    </row>
    <row r="34" spans="1:17" ht="15" customHeight="1" x14ac:dyDescent="0.3">
      <c r="A34" s="269"/>
      <c r="B34" s="31" t="s">
        <v>41</v>
      </c>
      <c r="C34" s="24">
        <v>19202.04</v>
      </c>
      <c r="D34" s="59"/>
      <c r="E34" s="25">
        <f t="shared" si="4"/>
        <v>96</v>
      </c>
      <c r="F34" s="114"/>
      <c r="G34" s="110">
        <f t="shared" si="5"/>
        <v>1608.17</v>
      </c>
      <c r="H34" s="111">
        <f t="shared" si="8"/>
        <v>20906.21</v>
      </c>
      <c r="I34" s="26">
        <f t="shared" si="1"/>
        <v>4904.5968659999999</v>
      </c>
      <c r="J34" s="26">
        <f t="shared" si="2"/>
        <v>1549.150161</v>
      </c>
      <c r="K34" s="113">
        <f t="shared" si="9"/>
        <v>1777.0278499999999</v>
      </c>
      <c r="L34" s="45">
        <f t="shared" si="7"/>
        <v>29136.984876999999</v>
      </c>
      <c r="M34" s="46">
        <v>1</v>
      </c>
      <c r="N34" s="12">
        <f t="shared" si="3"/>
        <v>29136.984876999999</v>
      </c>
      <c r="Q34" s="32"/>
    </row>
    <row r="35" spans="1:17" ht="15" customHeight="1" x14ac:dyDescent="0.3">
      <c r="A35" s="121"/>
      <c r="B35" s="120"/>
      <c r="C35" s="62"/>
      <c r="D35" s="61"/>
      <c r="E35" s="60"/>
      <c r="F35" s="115"/>
      <c r="G35" s="119"/>
      <c r="H35" s="117"/>
      <c r="I35" s="167"/>
      <c r="J35" s="167"/>
      <c r="K35" s="64"/>
      <c r="L35" s="65"/>
      <c r="M35" s="65"/>
      <c r="N35" s="65"/>
      <c r="Q35" s="32"/>
    </row>
    <row r="36" spans="1:17" ht="15" customHeight="1" x14ac:dyDescent="0.3">
      <c r="A36" s="269" t="s">
        <v>43</v>
      </c>
      <c r="B36" s="31" t="s">
        <v>39</v>
      </c>
      <c r="C36" s="24">
        <v>19550.650000000001</v>
      </c>
      <c r="D36" s="59"/>
      <c r="E36" s="25">
        <f t="shared" si="4"/>
        <v>97.800000000000011</v>
      </c>
      <c r="F36" s="114"/>
      <c r="G36" s="110">
        <f t="shared" si="5"/>
        <v>1637.37</v>
      </c>
      <c r="H36" s="111">
        <f>+G36+E36+C36</f>
        <v>21285.82</v>
      </c>
      <c r="I36" s="26">
        <f t="shared" si="1"/>
        <v>4993.6533719999998</v>
      </c>
      <c r="J36" s="26">
        <f t="shared" si="2"/>
        <v>1577.279262</v>
      </c>
      <c r="K36" s="113">
        <f>H36*8.5%</f>
        <v>1809.2947000000001</v>
      </c>
      <c r="L36" s="45">
        <f t="shared" si="7"/>
        <v>29666.047333999999</v>
      </c>
      <c r="M36" s="46"/>
      <c r="N36" s="12">
        <f t="shared" si="3"/>
        <v>0</v>
      </c>
      <c r="Q36" s="32"/>
    </row>
    <row r="37" spans="1:17" x14ac:dyDescent="0.3">
      <c r="A37" s="269"/>
      <c r="B37" s="31" t="s">
        <v>40</v>
      </c>
      <c r="C37" s="24">
        <v>18864.71</v>
      </c>
      <c r="D37" s="59"/>
      <c r="E37" s="25">
        <f t="shared" si="4"/>
        <v>94.320000000000007</v>
      </c>
      <c r="F37" s="114"/>
      <c r="G37" s="110">
        <f t="shared" si="5"/>
        <v>1579.92</v>
      </c>
      <c r="H37" s="111">
        <f>+G37+E37+C37</f>
        <v>20538.95</v>
      </c>
      <c r="I37" s="26">
        <f t="shared" si="1"/>
        <v>4818.4376700000003</v>
      </c>
      <c r="J37" s="26">
        <f t="shared" si="2"/>
        <v>1521.936195</v>
      </c>
      <c r="K37" s="113">
        <f>H37*8.5%</f>
        <v>1745.8107500000001</v>
      </c>
      <c r="L37" s="45">
        <f t="shared" si="7"/>
        <v>28625.134614999999</v>
      </c>
      <c r="M37" s="46"/>
      <c r="N37" s="12">
        <f t="shared" si="3"/>
        <v>0</v>
      </c>
    </row>
    <row r="38" spans="1:17" x14ac:dyDescent="0.3">
      <c r="A38" s="269"/>
      <c r="B38" s="31" t="s">
        <v>41</v>
      </c>
      <c r="C38" s="24">
        <v>18243.61</v>
      </c>
      <c r="D38" s="59"/>
      <c r="E38" s="25">
        <f t="shared" si="4"/>
        <v>91.199999999999989</v>
      </c>
      <c r="F38" s="114"/>
      <c r="G38" s="110">
        <f t="shared" si="5"/>
        <v>1527.9</v>
      </c>
      <c r="H38" s="111">
        <f>+G38+E38+C38</f>
        <v>19862.71</v>
      </c>
      <c r="I38" s="26">
        <f t="shared" si="1"/>
        <v>4659.7917660000003</v>
      </c>
      <c r="J38" s="26">
        <f t="shared" si="2"/>
        <v>1471.8268109999999</v>
      </c>
      <c r="K38" s="113">
        <f>H38*8.5%</f>
        <v>1688.33035</v>
      </c>
      <c r="L38" s="45">
        <f t="shared" si="7"/>
        <v>27682.658927</v>
      </c>
      <c r="M38" s="46"/>
      <c r="N38" s="12">
        <f t="shared" si="3"/>
        <v>0</v>
      </c>
    </row>
    <row r="39" spans="1:17" x14ac:dyDescent="0.3">
      <c r="A39" s="70"/>
      <c r="B39" s="69"/>
      <c r="C39" s="61"/>
      <c r="D39" s="60"/>
      <c r="E39" s="63"/>
      <c r="F39" s="63"/>
      <c r="G39" s="61"/>
      <c r="H39" s="124"/>
      <c r="I39" s="60"/>
      <c r="J39" s="60"/>
      <c r="K39" s="60"/>
      <c r="L39" s="68"/>
      <c r="M39" s="65"/>
      <c r="N39" s="65"/>
    </row>
    <row r="40" spans="1:17" ht="18" customHeight="1" x14ac:dyDescent="0.3">
      <c r="A40" s="35"/>
      <c r="B40" s="35"/>
      <c r="C40" s="35"/>
      <c r="D40" s="35"/>
      <c r="E40" s="52"/>
      <c r="F40" s="52"/>
      <c r="G40" s="35"/>
      <c r="H40" s="35"/>
      <c r="I40" s="35"/>
      <c r="J40" s="35"/>
      <c r="K40" s="52"/>
      <c r="L40" s="22" t="s">
        <v>44</v>
      </c>
      <c r="M40" s="46">
        <f>SUM(M11:M39)</f>
        <v>6</v>
      </c>
      <c r="N40" s="169">
        <f>+SUM(N10:N38)</f>
        <v>249588.36733600002</v>
      </c>
    </row>
    <row r="41" spans="1:17" x14ac:dyDescent="0.3">
      <c r="A41" s="29" t="s">
        <v>127</v>
      </c>
      <c r="M41" s="57"/>
      <c r="N41" s="57"/>
    </row>
    <row r="51" spans="13:14" x14ac:dyDescent="0.3">
      <c r="M51" s="35"/>
    </row>
    <row r="52" spans="13:14" x14ac:dyDescent="0.3">
      <c r="M52" s="35"/>
    </row>
    <row r="53" spans="13:14" x14ac:dyDescent="0.3">
      <c r="M53" s="35"/>
      <c r="N53" s="35"/>
    </row>
    <row r="54" spans="13:14" x14ac:dyDescent="0.3">
      <c r="M54" s="35"/>
      <c r="N54" s="35"/>
    </row>
    <row r="55" spans="13:14" x14ac:dyDescent="0.3">
      <c r="M55" s="35"/>
      <c r="N55" s="35"/>
    </row>
    <row r="56" spans="13:14" x14ac:dyDescent="0.3">
      <c r="M56" s="35"/>
      <c r="N56" s="35"/>
    </row>
    <row r="57" spans="13:14" x14ac:dyDescent="0.3">
      <c r="M57" s="35"/>
      <c r="N57" s="35"/>
    </row>
    <row r="58" spans="13:14" x14ac:dyDescent="0.3">
      <c r="M58" s="35"/>
      <c r="N58" s="35"/>
    </row>
    <row r="59" spans="13:14" x14ac:dyDescent="0.3">
      <c r="N59" s="35"/>
    </row>
    <row r="60" spans="13:14" x14ac:dyDescent="0.3">
      <c r="N60" s="35"/>
    </row>
  </sheetData>
  <sheetProtection selectLockedCells="1" selectUnlockedCells="1"/>
  <mergeCells count="38">
    <mergeCell ref="A2:B2"/>
    <mergeCell ref="I2:L3"/>
    <mergeCell ref="M1:N1"/>
    <mergeCell ref="A5:N5"/>
    <mergeCell ref="K6:K9"/>
    <mergeCell ref="A6:A11"/>
    <mergeCell ref="B6:B9"/>
    <mergeCell ref="C6:C9"/>
    <mergeCell ref="L6:L9"/>
    <mergeCell ref="F6:F9"/>
    <mergeCell ref="J6:J9"/>
    <mergeCell ref="I1:L1"/>
    <mergeCell ref="D6:D9"/>
    <mergeCell ref="E6:E9"/>
    <mergeCell ref="A1:B1"/>
    <mergeCell ref="M13:M16"/>
    <mergeCell ref="N13:N16"/>
    <mergeCell ref="A21:A27"/>
    <mergeCell ref="A29:A34"/>
    <mergeCell ref="H6:H9"/>
    <mergeCell ref="G6:G9"/>
    <mergeCell ref="I6:I9"/>
    <mergeCell ref="M6:M9"/>
    <mergeCell ref="N6:N9"/>
    <mergeCell ref="A13:A16"/>
    <mergeCell ref="L13:L16"/>
    <mergeCell ref="A17:A20"/>
    <mergeCell ref="D13:D16"/>
    <mergeCell ref="E13:E16"/>
    <mergeCell ref="A36:A38"/>
    <mergeCell ref="H13:H16"/>
    <mergeCell ref="I13:I16"/>
    <mergeCell ref="J13:J16"/>
    <mergeCell ref="K13:K16"/>
    <mergeCell ref="F13:F16"/>
    <mergeCell ref="G13:G16"/>
    <mergeCell ref="B13:B16"/>
    <mergeCell ref="C13:C16"/>
  </mergeCells>
  <hyperlinks>
    <hyperlink ref="D3" r:id="rId1" xr:uid="{00000000-0004-0000-0800-000000000000}"/>
  </hyperlinks>
  <pageMargins left="0.45" right="0.47013888888888888" top="0.62013888888888891" bottom="0.47013888888888888" header="0.51180555555555551" footer="0.51180555555555551"/>
  <pageSetup paperSize="9" scale="73" firstPageNumber="0" orientation="landscape" horizontalDpi="300" verticalDpi="300"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97304C8D6B6F4FA196C935CA66AAB2" ma:contentTypeVersion="5" ma:contentTypeDescription="Creare un nuovo documento." ma:contentTypeScope="" ma:versionID="e763215906623319f86d2e4e1b6e1483">
  <xsd:schema xmlns:xsd="http://www.w3.org/2001/XMLSchema" xmlns:xs="http://www.w3.org/2001/XMLSchema" xmlns:p="http://schemas.microsoft.com/office/2006/metadata/properties" xmlns:ns2="14765d38-f4de-4bd2-9073-79197af5b9e9" xmlns:ns3="7847eb56-3e23-4091-9faf-8c7eabbfdb33" targetNamespace="http://schemas.microsoft.com/office/2006/metadata/properties" ma:root="true" ma:fieldsID="c71890f71b5dfd3858a289e6183deaa7" ns2:_="" ns3:_="">
    <xsd:import namespace="14765d38-f4de-4bd2-9073-79197af5b9e9"/>
    <xsd:import namespace="7847eb56-3e23-4091-9faf-8c7eabbfdb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65d38-f4de-4bd2-9073-79197af5b9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47eb56-3e23-4091-9faf-8c7eabbfdb3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847eb56-3e23-4091-9faf-8c7eabbfdb33">
      <UserInfo>
        <DisplayName>BUCCHERI Alessandra</DisplayName>
        <AccountId>17</AccountId>
        <AccountType/>
      </UserInfo>
    </SharedWithUsers>
  </documentManagement>
</p:properties>
</file>

<file path=customXml/itemProps1.xml><?xml version="1.0" encoding="utf-8"?>
<ds:datastoreItem xmlns:ds="http://schemas.openxmlformats.org/officeDocument/2006/customXml" ds:itemID="{6D02A844-7885-4515-B60A-59985441C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765d38-f4de-4bd2-9073-79197af5b9e9"/>
    <ds:schemaRef ds:uri="7847eb56-3e23-4091-9faf-8c7eabbfdb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B4C380-4013-449C-BA98-693EA8DD3629}">
  <ds:schemaRefs>
    <ds:schemaRef ds:uri="http://schemas.microsoft.com/sharepoint/v3/contenttype/forms"/>
  </ds:schemaRefs>
</ds:datastoreItem>
</file>

<file path=customXml/itemProps3.xml><?xml version="1.0" encoding="utf-8"?>
<ds:datastoreItem xmlns:ds="http://schemas.openxmlformats.org/officeDocument/2006/customXml" ds:itemID="{EC76EEF1-32C1-4668-AD65-388E6AB80DEA}">
  <ds:schemaRefs>
    <ds:schemaRef ds:uri="http://schemas.microsoft.com/office/2006/metadata/properties"/>
    <ds:schemaRef ds:uri="http://schemas.microsoft.com/office/infopath/2007/PartnerControls"/>
    <ds:schemaRef ds:uri="7847eb56-3e23-4091-9faf-8c7eabbfdb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Tab.1 valore finanziario D.O.</vt:lpstr>
      <vt:lpstr>Tab. 2  presenti in servizio</vt:lpstr>
      <vt:lpstr>Tab. 3.1  Cessati anno 2022</vt:lpstr>
      <vt:lpstr>Tab. 3.2  Cessati anno 2023</vt:lpstr>
      <vt:lpstr>Tab. 3.3  Cessati anno 2024</vt:lpstr>
      <vt:lpstr>Tab. 4.1 Assunzioni anno 2023</vt:lpstr>
      <vt:lpstr>Tab. 4.2 Assunzioni anno 2024</vt:lpstr>
      <vt:lpstr>Tab. 4.3 Assunzioni anno 2025</vt:lpstr>
      <vt:lpstr>Tab. 5 Comandati out</vt:lpstr>
      <vt:lpstr>Tab. 6 Verifica  tetto spesa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Sanna Francesca</dc:creator>
  <cp:keywords/>
  <dc:description/>
  <cp:lastModifiedBy>CECCARONI Daniele</cp:lastModifiedBy>
  <cp:revision/>
  <dcterms:created xsi:type="dcterms:W3CDTF">2021-02-11T16:30:29Z</dcterms:created>
  <dcterms:modified xsi:type="dcterms:W3CDTF">2024-01-12T12:43:48Z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0x010100DD97304C8D6B6F4FA196C935CA66AAB2</vt:lpwstr>
  </property>
</Properties>
</file>